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Dev_plasticity_thermal_tolerance/Data_extraction/"/>
    </mc:Choice>
  </mc:AlternateContent>
  <xr:revisionPtr revIDLastSave="2001" documentId="6_{E155CF18-C5D2-4353-8EB3-FAC055888976}" xr6:coauthVersionLast="47" xr6:coauthVersionMax="47" xr10:uidLastSave="{9388ABDC-5F3E-481F-A650-A6641737DF55}"/>
  <bookViews>
    <workbookView xWindow="28680" yWindow="-120" windowWidth="29040" windowHeight="15840" xr2:uid="{E0B601A1-66AE-42B4-BDA7-D071ED1881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125" i="1" l="1"/>
  <c r="BO1126" i="1"/>
  <c r="BO1127" i="1"/>
  <c r="BO1128" i="1"/>
  <c r="BO1129" i="1"/>
  <c r="BO1130" i="1"/>
  <c r="BO1131" i="1"/>
  <c r="BO1132" i="1"/>
  <c r="BO1124" i="1"/>
  <c r="BO1123" i="1"/>
  <c r="BO1122" i="1"/>
  <c r="BO1121" i="1"/>
  <c r="BG1103" i="1"/>
  <c r="BG1104" i="1"/>
  <c r="BO1102" i="1"/>
  <c r="BG1102" i="1"/>
  <c r="BD1102" i="1"/>
  <c r="BG1101" i="1"/>
  <c r="BO1101" i="1"/>
  <c r="BD1101" i="1"/>
  <c r="BH1100" i="1"/>
  <c r="BH1099" i="1"/>
  <c r="BH1098" i="1"/>
  <c r="BH1097" i="1"/>
  <c r="BO1100" i="1"/>
  <c r="BO1099" i="1"/>
  <c r="BO1098" i="1"/>
  <c r="BO1097" i="1"/>
  <c r="BM1100" i="1"/>
  <c r="BM1099" i="1"/>
  <c r="BM1098" i="1"/>
  <c r="BM1097" i="1"/>
  <c r="BF1097" i="1"/>
  <c r="BF1100" i="1"/>
  <c r="BF1096" i="1"/>
  <c r="AU1096" i="1"/>
  <c r="AT1096" i="1"/>
  <c r="BF1094" i="1"/>
  <c r="AX1094" i="1"/>
  <c r="AU1094" i="1"/>
  <c r="AT1094" i="1"/>
  <c r="AT1095" i="1"/>
  <c r="AT1093" i="1"/>
  <c r="AU1095" i="1"/>
  <c r="AU1093" i="1"/>
  <c r="BF1095" i="1"/>
  <c r="BF1093" i="1"/>
  <c r="AT1092" i="1"/>
  <c r="AT1091" i="1"/>
  <c r="AT1090" i="1"/>
  <c r="AT1089" i="1"/>
  <c r="AT1088" i="1"/>
  <c r="AT1087" i="1"/>
  <c r="AU1092" i="1"/>
  <c r="AU1091" i="1"/>
  <c r="AU1090" i="1"/>
  <c r="AU1089" i="1"/>
  <c r="AU1088" i="1"/>
  <c r="AU1087" i="1"/>
  <c r="BF1092" i="1"/>
  <c r="BF1091" i="1"/>
  <c r="BF1090" i="1"/>
  <c r="BF1088" i="1"/>
  <c r="BF1087" i="1"/>
  <c r="BF1089" i="1"/>
  <c r="AX1093" i="1"/>
  <c r="BF1086" i="1"/>
  <c r="BF1085" i="1"/>
  <c r="BF1084" i="1"/>
  <c r="BF1083" i="1"/>
  <c r="BF1082" i="1"/>
  <c r="BF1081" i="1"/>
  <c r="BF1080" i="1"/>
  <c r="BF1079" i="1"/>
  <c r="BF1078" i="1"/>
  <c r="BF1077" i="1"/>
  <c r="BF1076" i="1"/>
  <c r="BF1075" i="1"/>
  <c r="BF1074" i="1"/>
  <c r="BF1073" i="1"/>
  <c r="BF1072" i="1"/>
  <c r="BH1074" i="1"/>
  <c r="BH1075" i="1"/>
  <c r="BH1076" i="1"/>
  <c r="BH1077" i="1"/>
  <c r="BH1078" i="1"/>
  <c r="BH1079" i="1"/>
  <c r="BH1080" i="1"/>
  <c r="BH1081" i="1"/>
  <c r="BH1082" i="1"/>
  <c r="BH1083" i="1"/>
  <c r="BH1084" i="1"/>
  <c r="BH1085" i="1"/>
  <c r="BH1086" i="1"/>
  <c r="BH1073" i="1"/>
  <c r="BH1072" i="1"/>
  <c r="BK1074" i="1"/>
  <c r="BK1075" i="1"/>
  <c r="BK1076" i="1"/>
  <c r="BK1077" i="1"/>
  <c r="BK1078" i="1"/>
  <c r="BK1079" i="1"/>
  <c r="BK1080" i="1"/>
  <c r="BK1081" i="1"/>
  <c r="BK1082" i="1"/>
  <c r="BK1083" i="1"/>
  <c r="BK1084" i="1"/>
  <c r="BK1085" i="1"/>
  <c r="BK1086" i="1"/>
  <c r="BK1073" i="1"/>
  <c r="BK1072" i="1"/>
  <c r="AX1086" i="1"/>
  <c r="AX1085" i="1"/>
  <c r="AX1074" i="1"/>
  <c r="AX1075" i="1"/>
  <c r="AX1076" i="1"/>
  <c r="AX1077" i="1"/>
  <c r="AX1078" i="1"/>
  <c r="AX1079" i="1"/>
  <c r="AX1080" i="1"/>
  <c r="AX1081" i="1"/>
  <c r="AX1082" i="1"/>
  <c r="AX1083" i="1"/>
  <c r="AX1084" i="1"/>
  <c r="AX1073" i="1"/>
  <c r="AX1072" i="1"/>
  <c r="AV1062" i="1"/>
  <c r="AU1062" i="1"/>
  <c r="AV1061" i="1"/>
  <c r="AU1061" i="1"/>
  <c r="BG1060" i="1"/>
  <c r="AU1060" i="1"/>
  <c r="BG1059" i="1"/>
  <c r="AU1059" i="1"/>
  <c r="BG1058" i="1"/>
  <c r="AU1058" i="1"/>
  <c r="BG1057" i="1"/>
  <c r="AU1057" i="1"/>
  <c r="BD1049" i="1"/>
  <c r="AU1049" i="1"/>
  <c r="AT1049" i="1"/>
  <c r="BD1048" i="1"/>
  <c r="AU1048" i="1"/>
  <c r="AT1048" i="1"/>
  <c r="BD1047" i="1"/>
  <c r="AU1047" i="1"/>
  <c r="AT1047" i="1"/>
  <c r="BD1046" i="1"/>
  <c r="AU1046" i="1"/>
  <c r="AT1046" i="1"/>
  <c r="BD1045" i="1"/>
  <c r="AU1045" i="1"/>
  <c r="AT1045" i="1"/>
  <c r="AU1044" i="1"/>
  <c r="AU1043" i="1"/>
  <c r="AT1043" i="1"/>
  <c r="AU1042" i="1"/>
  <c r="AT1042" i="1"/>
  <c r="BD1041" i="1"/>
  <c r="AU1041" i="1"/>
  <c r="BD1040" i="1"/>
  <c r="AU1040" i="1"/>
  <c r="BD1039" i="1"/>
  <c r="AU1039" i="1"/>
  <c r="BD1038" i="1"/>
  <c r="AU1038" i="1"/>
  <c r="BD1037" i="1"/>
  <c r="AU1037" i="1"/>
  <c r="BD1036" i="1"/>
  <c r="AU1036" i="1"/>
  <c r="BD1035" i="1"/>
  <c r="AU1035" i="1"/>
  <c r="BD1034" i="1"/>
  <c r="AU1034" i="1"/>
  <c r="AU1033" i="1"/>
  <c r="AU1032" i="1"/>
  <c r="AU991" i="1"/>
  <c r="AU990" i="1"/>
  <c r="AU989" i="1"/>
  <c r="AU988" i="1"/>
  <c r="AU987" i="1"/>
  <c r="AU986" i="1"/>
  <c r="AU981" i="1"/>
  <c r="AU980" i="1"/>
  <c r="AU979" i="1"/>
  <c r="AU978" i="1"/>
  <c r="AU973" i="1"/>
  <c r="AU972" i="1"/>
  <c r="AU971" i="1"/>
  <c r="AU970" i="1"/>
  <c r="AU969" i="1"/>
  <c r="AU968" i="1"/>
  <c r="AU967" i="1"/>
  <c r="AU966" i="1"/>
  <c r="AV965" i="1"/>
  <c r="AV964" i="1"/>
  <c r="AV963" i="1"/>
  <c r="AU963" i="1"/>
  <c r="AV953" i="1"/>
  <c r="AU953" i="1"/>
  <c r="AK953" i="1"/>
  <c r="AV952" i="1"/>
  <c r="AU952" i="1"/>
  <c r="AK952" i="1"/>
  <c r="AV951" i="1"/>
  <c r="AU951" i="1"/>
  <c r="AK951" i="1"/>
  <c r="AV950" i="1"/>
  <c r="AU950" i="1"/>
  <c r="AK950" i="1"/>
  <c r="AV949" i="1"/>
  <c r="AU949" i="1"/>
  <c r="AK949" i="1"/>
  <c r="AV948" i="1"/>
  <c r="AU948" i="1"/>
  <c r="AK948" i="1"/>
  <c r="AV947" i="1"/>
  <c r="AU947" i="1"/>
  <c r="AK947" i="1"/>
  <c r="AV946" i="1"/>
  <c r="AU946" i="1"/>
  <c r="AK946" i="1"/>
  <c r="AV945" i="1"/>
  <c r="AU945" i="1"/>
  <c r="AK945" i="1"/>
  <c r="AU907" i="1"/>
  <c r="AU906" i="1"/>
  <c r="AU905" i="1"/>
  <c r="AU900" i="1"/>
  <c r="AU899" i="1"/>
  <c r="AU898" i="1"/>
  <c r="AU897" i="1"/>
  <c r="AU896" i="1"/>
  <c r="AU895" i="1"/>
  <c r="AU894" i="1"/>
  <c r="AU893" i="1"/>
  <c r="AU892" i="1"/>
  <c r="AU891" i="1"/>
  <c r="AU864" i="1"/>
  <c r="AU863" i="1"/>
  <c r="AU862" i="1"/>
  <c r="BG861" i="1"/>
  <c r="AU861" i="1"/>
  <c r="AT861" i="1"/>
  <c r="BG860" i="1"/>
  <c r="AU860" i="1"/>
  <c r="AT860" i="1"/>
  <c r="BG859" i="1"/>
  <c r="AU859" i="1"/>
  <c r="AT859" i="1"/>
  <c r="BG858" i="1"/>
  <c r="AU858" i="1"/>
  <c r="AT858" i="1"/>
  <c r="AV846" i="1"/>
  <c r="AV845" i="1"/>
  <c r="AV844" i="1"/>
  <c r="AV843" i="1"/>
  <c r="AV842" i="1"/>
  <c r="BO837" i="1"/>
  <c r="BN837" i="1"/>
  <c r="BG837" i="1"/>
  <c r="BD837" i="1"/>
  <c r="AU837" i="1"/>
  <c r="AT837" i="1"/>
  <c r="BO836" i="1"/>
  <c r="BN836" i="1"/>
  <c r="BG836" i="1"/>
  <c r="BD836" i="1"/>
  <c r="AU836" i="1"/>
  <c r="AT836" i="1"/>
  <c r="AQ835" i="1"/>
  <c r="AQ834" i="1"/>
  <c r="AQ833" i="1"/>
  <c r="AQ832" i="1"/>
  <c r="AQ831" i="1"/>
  <c r="AQ830" i="1"/>
  <c r="AQ829" i="1"/>
  <c r="AQ828" i="1"/>
  <c r="AQ827" i="1"/>
  <c r="AQ826" i="1"/>
  <c r="AQ825" i="1"/>
  <c r="AQ824" i="1"/>
  <c r="AQ823" i="1"/>
  <c r="AQ822" i="1"/>
  <c r="AQ821" i="1"/>
  <c r="AQ820" i="1"/>
  <c r="AQ819" i="1"/>
  <c r="AQ818" i="1"/>
  <c r="AQ817" i="1"/>
  <c r="AQ816" i="1"/>
  <c r="AQ815" i="1"/>
  <c r="AQ814" i="1"/>
  <c r="BG809" i="1"/>
  <c r="BG808" i="1"/>
  <c r="BG807" i="1"/>
  <c r="BG806" i="1"/>
  <c r="BG792" i="1"/>
  <c r="BG791" i="1"/>
  <c r="BG790" i="1"/>
  <c r="BG789" i="1"/>
  <c r="BG788" i="1"/>
  <c r="BG787" i="1"/>
  <c r="BO785" i="1"/>
  <c r="BN785" i="1"/>
  <c r="AV785" i="1"/>
  <c r="BO784" i="1"/>
  <c r="BN784" i="1"/>
  <c r="AV784" i="1"/>
  <c r="BO783" i="1"/>
  <c r="BN783" i="1"/>
  <c r="AV783" i="1"/>
  <c r="BO782" i="1"/>
  <c r="BN782" i="1"/>
  <c r="AV782" i="1"/>
  <c r="BF781" i="1"/>
  <c r="BF780" i="1"/>
  <c r="BF779" i="1"/>
  <c r="BF778" i="1"/>
  <c r="BF777" i="1"/>
  <c r="BF776" i="1"/>
  <c r="BF775" i="1"/>
  <c r="BF774" i="1"/>
  <c r="BF773" i="1"/>
  <c r="BF772" i="1"/>
  <c r="BF771" i="1"/>
  <c r="BF770" i="1"/>
  <c r="BF769" i="1"/>
  <c r="BF768" i="1"/>
  <c r="BF767" i="1"/>
  <c r="BF766" i="1"/>
  <c r="BF765" i="1"/>
  <c r="BF764" i="1"/>
  <c r="BO763" i="1"/>
  <c r="BD763" i="1"/>
  <c r="AT763" i="1"/>
  <c r="BO762" i="1"/>
  <c r="BD762" i="1"/>
  <c r="AT762" i="1"/>
  <c r="BL761" i="1"/>
  <c r="BK761" i="1"/>
  <c r="AT761" i="1"/>
  <c r="BL760" i="1"/>
  <c r="BK760" i="1"/>
  <c r="AT760" i="1"/>
  <c r="BL759" i="1"/>
  <c r="BK759" i="1"/>
  <c r="AT759" i="1"/>
  <c r="BL758" i="1"/>
  <c r="BK758" i="1"/>
  <c r="AT758" i="1"/>
  <c r="BL757" i="1"/>
  <c r="BK757" i="1"/>
  <c r="AT757" i="1"/>
  <c r="BL756" i="1"/>
  <c r="BK756" i="1"/>
  <c r="AT756" i="1"/>
  <c r="BL755" i="1"/>
  <c r="BK755" i="1"/>
  <c r="AT755" i="1"/>
  <c r="AT750" i="1"/>
  <c r="AT749" i="1"/>
  <c r="AT748" i="1"/>
  <c r="AT747" i="1"/>
  <c r="AT746" i="1"/>
  <c r="BG735" i="1"/>
  <c r="BG734" i="1"/>
  <c r="BG733" i="1"/>
  <c r="BG732" i="1"/>
  <c r="BO731" i="1"/>
  <c r="BN731" i="1"/>
  <c r="BG731" i="1"/>
  <c r="BD731" i="1"/>
  <c r="BO730" i="1"/>
  <c r="BN730" i="1"/>
  <c r="BG730" i="1"/>
  <c r="BD730" i="1"/>
  <c r="BO729" i="1"/>
  <c r="BN729" i="1"/>
  <c r="BG729" i="1"/>
  <c r="BD729" i="1"/>
  <c r="BO728" i="1"/>
  <c r="BN728" i="1"/>
  <c r="BG728" i="1"/>
  <c r="BD728" i="1"/>
  <c r="BF727" i="1"/>
  <c r="BD727" i="1"/>
  <c r="AV727" i="1"/>
  <c r="BF726" i="1"/>
  <c r="BD726" i="1"/>
  <c r="AV726" i="1"/>
  <c r="BF725" i="1"/>
  <c r="BD725" i="1"/>
  <c r="AV725" i="1"/>
  <c r="BF724" i="1"/>
  <c r="BD724" i="1"/>
  <c r="AV724" i="1"/>
  <c r="BJ722" i="1"/>
  <c r="BJ717" i="1"/>
  <c r="BJ716" i="1"/>
  <c r="AX712" i="1"/>
  <c r="AV705" i="1"/>
  <c r="AV712" i="1"/>
  <c r="AT712" i="1"/>
  <c r="AX711" i="1"/>
  <c r="AV704" i="1"/>
  <c r="AV711" i="1" s="1"/>
  <c r="AT711" i="1"/>
  <c r="AX710" i="1"/>
  <c r="AV703" i="1"/>
  <c r="AV710" i="1" s="1"/>
  <c r="AT710" i="1"/>
  <c r="AX709" i="1"/>
  <c r="AV709" i="1"/>
  <c r="AT709" i="1"/>
  <c r="AX708" i="1"/>
  <c r="AV708" i="1"/>
  <c r="AT708" i="1"/>
  <c r="AX707" i="1"/>
  <c r="AV707" i="1"/>
  <c r="AT707" i="1"/>
  <c r="AX706" i="1"/>
  <c r="AV706" i="1"/>
  <c r="AT706" i="1"/>
  <c r="AX705" i="1"/>
  <c r="AT705" i="1"/>
  <c r="AX704" i="1"/>
  <c r="AT704" i="1"/>
  <c r="AX703" i="1"/>
  <c r="AT703" i="1"/>
  <c r="BM701" i="1"/>
  <c r="BD701" i="1"/>
  <c r="AU701" i="1"/>
  <c r="AT701" i="1"/>
  <c r="BM700" i="1"/>
  <c r="BD700" i="1"/>
  <c r="AU700" i="1"/>
  <c r="AT700" i="1"/>
  <c r="BM699" i="1"/>
  <c r="BD699" i="1"/>
  <c r="AU699" i="1"/>
  <c r="AT699" i="1"/>
  <c r="AU692" i="1"/>
  <c r="AU691" i="1"/>
  <c r="BH690" i="1"/>
  <c r="BH689" i="1"/>
  <c r="AT689" i="1"/>
  <c r="BH688" i="1"/>
  <c r="AT688" i="1"/>
  <c r="BH687" i="1"/>
  <c r="AT687" i="1"/>
  <c r="BH686" i="1"/>
  <c r="AT686" i="1"/>
  <c r="BH685" i="1"/>
  <c r="BH684" i="1"/>
  <c r="BH683" i="1"/>
  <c r="BH682" i="1"/>
  <c r="BH681" i="1"/>
  <c r="BH680" i="1"/>
  <c r="BH679" i="1"/>
  <c r="AT679" i="1"/>
  <c r="BH678" i="1"/>
  <c r="AT678" i="1"/>
  <c r="BH677" i="1"/>
  <c r="AT677" i="1"/>
  <c r="BH676" i="1"/>
  <c r="BH675" i="1"/>
  <c r="BH674" i="1"/>
  <c r="BH673" i="1"/>
  <c r="BH672" i="1"/>
  <c r="BH671" i="1"/>
  <c r="BG670" i="1"/>
  <c r="AT670" i="1"/>
  <c r="BG669" i="1"/>
  <c r="AT669" i="1"/>
  <c r="BG668" i="1"/>
  <c r="AT668" i="1"/>
  <c r="BG667" i="1"/>
  <c r="AT667" i="1"/>
  <c r="BG666" i="1"/>
  <c r="AT666" i="1"/>
  <c r="BG665" i="1"/>
  <c r="AT665" i="1"/>
  <c r="BG664" i="1"/>
  <c r="BG663" i="1"/>
  <c r="BG662" i="1"/>
  <c r="BG661" i="1"/>
  <c r="BG660" i="1"/>
  <c r="BG659" i="1"/>
  <c r="BG658" i="1"/>
  <c r="BG657" i="1"/>
  <c r="BG656" i="1"/>
  <c r="BG655" i="1"/>
  <c r="AT655" i="1"/>
  <c r="BG654" i="1"/>
  <c r="AT654" i="1"/>
  <c r="BG653" i="1"/>
  <c r="AT653" i="1"/>
  <c r="BG652" i="1"/>
  <c r="BG651" i="1"/>
  <c r="BG650" i="1"/>
  <c r="BG649" i="1"/>
  <c r="BG648" i="1"/>
  <c r="BG647" i="1"/>
  <c r="AV646" i="1"/>
  <c r="AV642" i="1"/>
  <c r="AV641" i="1"/>
  <c r="AV639" i="1"/>
  <c r="AV638" i="1"/>
  <c r="AT638" i="1"/>
  <c r="BH637" i="1"/>
  <c r="BH636" i="1"/>
  <c r="BH635" i="1"/>
  <c r="BH634" i="1"/>
  <c r="BH633" i="1"/>
  <c r="BH632" i="1"/>
  <c r="BH631" i="1"/>
  <c r="BH630" i="1"/>
  <c r="BH629" i="1"/>
  <c r="BH628" i="1"/>
  <c r="BH627" i="1"/>
  <c r="BH626" i="1"/>
  <c r="BH625" i="1"/>
  <c r="BH624" i="1"/>
  <c r="BH623" i="1"/>
  <c r="BH622" i="1"/>
  <c r="BH621" i="1"/>
  <c r="BH620" i="1"/>
  <c r="BG619" i="1"/>
  <c r="BF619" i="1"/>
  <c r="AU619" i="1"/>
  <c r="AT619" i="1"/>
  <c r="BG618" i="1"/>
  <c r="BF618" i="1"/>
  <c r="AU618" i="1"/>
  <c r="AT618" i="1"/>
  <c r="BG617" i="1"/>
  <c r="BF617" i="1"/>
  <c r="AU617" i="1"/>
  <c r="AT617" i="1"/>
  <c r="BG616" i="1"/>
  <c r="BF616" i="1"/>
  <c r="AU616" i="1"/>
  <c r="AT616" i="1"/>
  <c r="BG615" i="1"/>
  <c r="BF615" i="1"/>
  <c r="AU615" i="1"/>
  <c r="AT615" i="1"/>
  <c r="BG614" i="1"/>
  <c r="BF614" i="1"/>
  <c r="AU614" i="1"/>
  <c r="AT614" i="1"/>
  <c r="BG613" i="1"/>
  <c r="BF613" i="1"/>
  <c r="AU613" i="1"/>
  <c r="AT613" i="1"/>
  <c r="BG612" i="1"/>
  <c r="BF612" i="1"/>
  <c r="AU612" i="1"/>
  <c r="AT612" i="1"/>
  <c r="BG611" i="1"/>
  <c r="BF611" i="1"/>
  <c r="AU611" i="1"/>
  <c r="AT611" i="1"/>
  <c r="BG610" i="1"/>
  <c r="BF610" i="1"/>
  <c r="AU610" i="1"/>
  <c r="AT610" i="1"/>
  <c r="BG609" i="1"/>
  <c r="BF609" i="1"/>
  <c r="AU609" i="1"/>
  <c r="AT609" i="1"/>
  <c r="BG608" i="1"/>
  <c r="BF608" i="1"/>
  <c r="AU608" i="1"/>
  <c r="AT608" i="1"/>
  <c r="BG607" i="1"/>
  <c r="BF607" i="1"/>
  <c r="AU607" i="1"/>
  <c r="AT607" i="1"/>
  <c r="BG606" i="1"/>
  <c r="BF606" i="1"/>
  <c r="AU606" i="1"/>
  <c r="AT606" i="1"/>
  <c r="BG605" i="1"/>
  <c r="BF605" i="1"/>
  <c r="AU605" i="1"/>
  <c r="AT605" i="1"/>
  <c r="BG604" i="1"/>
  <c r="BF604" i="1"/>
  <c r="AU604" i="1"/>
  <c r="AT604" i="1"/>
  <c r="BG603" i="1"/>
  <c r="BF603" i="1"/>
  <c r="AU603" i="1"/>
  <c r="AT603" i="1"/>
  <c r="BG602" i="1"/>
  <c r="BF602" i="1"/>
  <c r="AU602" i="1"/>
  <c r="AT602" i="1"/>
  <c r="BG601" i="1"/>
  <c r="BF601" i="1"/>
  <c r="AU601" i="1"/>
  <c r="AT601" i="1"/>
  <c r="BG600" i="1"/>
  <c r="BF600" i="1"/>
  <c r="AU600" i="1"/>
  <c r="AT600" i="1"/>
  <c r="BG599" i="1"/>
  <c r="BF599" i="1"/>
  <c r="AU599" i="1"/>
  <c r="AT599" i="1"/>
  <c r="BG598" i="1"/>
  <c r="BF598" i="1"/>
  <c r="AU598" i="1"/>
  <c r="AT598" i="1"/>
  <c r="BG597" i="1"/>
  <c r="BF597" i="1"/>
  <c r="AU597" i="1"/>
  <c r="AT597" i="1"/>
  <c r="BG596" i="1"/>
  <c r="BF596" i="1"/>
  <c r="AU596" i="1"/>
  <c r="AT596" i="1"/>
  <c r="BG595" i="1"/>
  <c r="BF595" i="1"/>
  <c r="AU595" i="1"/>
  <c r="AT595" i="1"/>
  <c r="BG594" i="1"/>
  <c r="BF594" i="1"/>
  <c r="AU594" i="1"/>
  <c r="AT594" i="1"/>
  <c r="BG593" i="1"/>
  <c r="BF593" i="1"/>
  <c r="AU593" i="1"/>
  <c r="AT593" i="1"/>
  <c r="BG592" i="1"/>
  <c r="BF592" i="1"/>
  <c r="AU592" i="1"/>
  <c r="AT592" i="1"/>
  <c r="BG591" i="1"/>
  <c r="BF591" i="1"/>
  <c r="AU591" i="1"/>
  <c r="AT591" i="1"/>
  <c r="BG590" i="1"/>
  <c r="BF590" i="1"/>
  <c r="AU590" i="1"/>
  <c r="AT590" i="1"/>
  <c r="BG589" i="1"/>
  <c r="BF589" i="1"/>
  <c r="AU589" i="1"/>
  <c r="AT589" i="1"/>
  <c r="BG588" i="1"/>
  <c r="BF588" i="1"/>
  <c r="AU588" i="1"/>
  <c r="AT588" i="1"/>
  <c r="BG587" i="1"/>
  <c r="BF587" i="1"/>
  <c r="AU587" i="1"/>
  <c r="AT587" i="1"/>
  <c r="BG586" i="1"/>
  <c r="BF586" i="1"/>
  <c r="AU586" i="1"/>
  <c r="AT586" i="1"/>
  <c r="BG585" i="1"/>
  <c r="BF585" i="1"/>
  <c r="AU585" i="1"/>
  <c r="AT585" i="1"/>
  <c r="BG584" i="1"/>
  <c r="BF584" i="1"/>
  <c r="AU584" i="1"/>
  <c r="AT584" i="1"/>
  <c r="BG583" i="1"/>
  <c r="BF583" i="1"/>
  <c r="AU583" i="1"/>
  <c r="AT583" i="1"/>
  <c r="BG582" i="1"/>
  <c r="BF582" i="1"/>
  <c r="AU582" i="1"/>
  <c r="AT582" i="1"/>
  <c r="BG581" i="1"/>
  <c r="BF581" i="1"/>
  <c r="AU581" i="1"/>
  <c r="AT581" i="1"/>
  <c r="BG580" i="1"/>
  <c r="BF580" i="1"/>
  <c r="AU580" i="1"/>
  <c r="AT580" i="1"/>
  <c r="BG579" i="1"/>
  <c r="BF579" i="1"/>
  <c r="AU579" i="1"/>
  <c r="AT579" i="1"/>
  <c r="BG578" i="1"/>
  <c r="BF578" i="1"/>
  <c r="AU578" i="1"/>
  <c r="AT578" i="1"/>
  <c r="BG577" i="1"/>
  <c r="BF577" i="1"/>
  <c r="AU577" i="1"/>
  <c r="AT577" i="1"/>
  <c r="AU576" i="1"/>
  <c r="AT576" i="1"/>
  <c r="AU575" i="1"/>
  <c r="AT575" i="1"/>
  <c r="BG574" i="1"/>
  <c r="BF574" i="1"/>
  <c r="AU574" i="1"/>
  <c r="AT574" i="1"/>
  <c r="AK574" i="1"/>
  <c r="BG573" i="1"/>
  <c r="BF573" i="1"/>
  <c r="AU573" i="1"/>
  <c r="AT573" i="1"/>
  <c r="AK573" i="1"/>
  <c r="BG572" i="1"/>
  <c r="BG571" i="1"/>
  <c r="BF571" i="1"/>
  <c r="AU558" i="1"/>
  <c r="AU557" i="1"/>
  <c r="BF556" i="1"/>
  <c r="BF555" i="1"/>
  <c r="BD554" i="1"/>
  <c r="BD553" i="1"/>
  <c r="BD552" i="1"/>
  <c r="BO551" i="1"/>
  <c r="AV551" i="1"/>
  <c r="AU551" i="1"/>
  <c r="BO550" i="1"/>
  <c r="AV550" i="1"/>
  <c r="AU550" i="1"/>
  <c r="BD549" i="1"/>
  <c r="AU549" i="1"/>
  <c r="BD548" i="1"/>
  <c r="AU548" i="1"/>
  <c r="BD547" i="1"/>
  <c r="AU547" i="1"/>
  <c r="BD546" i="1"/>
  <c r="AU546" i="1"/>
  <c r="BD545" i="1"/>
  <c r="AU545" i="1"/>
  <c r="BD544" i="1"/>
  <c r="AU544" i="1"/>
  <c r="BD543" i="1"/>
  <c r="AU543" i="1"/>
  <c r="BD542" i="1"/>
  <c r="AU542" i="1"/>
  <c r="BD541" i="1"/>
  <c r="AU541" i="1"/>
  <c r="BD540" i="1"/>
  <c r="AU540" i="1"/>
  <c r="BD539" i="1"/>
  <c r="AU539" i="1"/>
  <c r="BG538" i="1"/>
  <c r="BF538" i="1"/>
  <c r="AV538" i="1"/>
  <c r="AT538" i="1"/>
  <c r="BG537" i="1"/>
  <c r="BF537" i="1"/>
  <c r="AV537" i="1"/>
  <c r="AT537" i="1"/>
  <c r="BG536" i="1"/>
  <c r="BF536" i="1"/>
  <c r="AV536" i="1"/>
  <c r="AT536" i="1"/>
  <c r="BG535" i="1"/>
  <c r="BF535" i="1"/>
  <c r="AV535" i="1"/>
  <c r="AT535" i="1"/>
  <c r="BG534" i="1"/>
  <c r="BF534" i="1"/>
  <c r="AV534" i="1"/>
  <c r="AT534" i="1"/>
  <c r="BG533" i="1"/>
  <c r="BF533" i="1"/>
  <c r="AV533" i="1"/>
  <c r="AT533" i="1"/>
  <c r="BG529" i="1"/>
  <c r="BG528" i="1"/>
  <c r="BG527" i="1"/>
  <c r="BG526" i="1"/>
  <c r="BG525" i="1"/>
  <c r="BG524" i="1"/>
  <c r="BD506" i="1"/>
  <c r="AK506" i="1"/>
  <c r="BD505" i="1"/>
  <c r="AK505" i="1"/>
  <c r="AU504" i="1"/>
  <c r="AT504" i="1"/>
  <c r="AU503" i="1"/>
  <c r="AT503" i="1"/>
  <c r="AU502" i="1"/>
  <c r="AT502" i="1"/>
  <c r="BC501" i="1"/>
  <c r="BB501" i="1"/>
  <c r="AU501" i="1"/>
  <c r="AT501" i="1"/>
  <c r="BC500" i="1"/>
  <c r="BB500" i="1"/>
  <c r="AU500" i="1"/>
  <c r="AT500" i="1"/>
  <c r="BC499" i="1"/>
  <c r="BB499" i="1"/>
  <c r="AU499" i="1"/>
  <c r="AT499" i="1"/>
  <c r="BC498" i="1"/>
  <c r="BB498" i="1"/>
  <c r="AU498" i="1"/>
  <c r="AT498" i="1"/>
  <c r="BC497" i="1"/>
  <c r="BB497" i="1"/>
  <c r="AU497" i="1"/>
  <c r="AT497" i="1"/>
  <c r="BC496" i="1"/>
  <c r="BB496" i="1"/>
  <c r="AU496" i="1"/>
  <c r="AT496" i="1"/>
  <c r="BC495" i="1"/>
  <c r="BB495" i="1"/>
  <c r="AU495" i="1"/>
  <c r="AT495" i="1"/>
  <c r="BC494" i="1"/>
  <c r="BB494" i="1"/>
  <c r="AU494" i="1"/>
  <c r="AT494" i="1"/>
  <c r="BC493" i="1"/>
  <c r="BB493" i="1"/>
  <c r="AU493" i="1"/>
  <c r="AT493" i="1"/>
  <c r="BG492" i="1"/>
  <c r="BF492" i="1"/>
  <c r="AV492" i="1"/>
  <c r="AU492" i="1"/>
  <c r="AT492" i="1"/>
  <c r="BG491" i="1"/>
  <c r="AV491" i="1"/>
  <c r="AU491" i="1"/>
  <c r="AT491" i="1"/>
  <c r="AK491" i="1"/>
  <c r="BG490" i="1"/>
  <c r="AV490" i="1"/>
  <c r="AU490" i="1"/>
  <c r="AT490" i="1"/>
  <c r="AK490" i="1"/>
  <c r="BG489" i="1"/>
  <c r="AV489" i="1"/>
  <c r="AU489" i="1"/>
  <c r="AT489" i="1"/>
  <c r="AK489" i="1"/>
  <c r="BG488" i="1"/>
  <c r="BF488" i="1"/>
  <c r="AV488" i="1"/>
  <c r="AU488" i="1"/>
  <c r="AT488" i="1"/>
  <c r="BG487" i="1"/>
  <c r="AV487" i="1"/>
  <c r="AU487" i="1"/>
  <c r="AT487" i="1"/>
  <c r="AK487" i="1"/>
  <c r="BG486" i="1"/>
  <c r="AV486" i="1"/>
  <c r="AU486" i="1"/>
  <c r="AT486" i="1"/>
  <c r="AK486" i="1"/>
  <c r="BG485" i="1"/>
  <c r="AV485" i="1"/>
  <c r="AU485" i="1"/>
  <c r="AT485" i="1"/>
  <c r="AK485" i="1"/>
  <c r="AV471" i="1"/>
  <c r="AK471" i="1"/>
  <c r="AV470" i="1"/>
  <c r="AK470" i="1"/>
  <c r="AV469" i="1"/>
  <c r="AK469" i="1"/>
  <c r="AV455" i="1"/>
  <c r="AK455" i="1"/>
  <c r="AV454" i="1"/>
  <c r="AK454" i="1"/>
  <c r="AV453" i="1"/>
  <c r="AK453" i="1"/>
  <c r="BG452" i="1"/>
  <c r="BG451" i="1"/>
  <c r="BG450" i="1"/>
  <c r="BG449" i="1"/>
  <c r="BG448" i="1"/>
  <c r="BG447" i="1"/>
  <c r="BG446" i="1"/>
  <c r="BG445" i="1"/>
  <c r="BG444" i="1"/>
  <c r="BG443" i="1"/>
  <c r="BG442" i="1"/>
  <c r="BG441" i="1"/>
  <c r="BG440" i="1"/>
  <c r="BG439" i="1"/>
  <c r="BG438" i="1"/>
  <c r="AV437" i="1"/>
  <c r="AU437" i="1"/>
  <c r="AK437" i="1"/>
  <c r="AV436" i="1"/>
  <c r="AU436" i="1"/>
  <c r="AK436" i="1"/>
  <c r="BG396" i="1"/>
  <c r="BG395" i="1"/>
  <c r="BG394" i="1"/>
  <c r="BD389" i="1"/>
  <c r="AX389" i="1"/>
  <c r="AT389" i="1"/>
  <c r="BG388" i="1"/>
  <c r="BD388" i="1"/>
  <c r="AX388" i="1"/>
  <c r="AT388" i="1"/>
  <c r="BM387" i="1"/>
  <c r="BM386" i="1"/>
  <c r="BM385" i="1"/>
  <c r="BM384" i="1"/>
  <c r="BH371" i="1"/>
  <c r="BF371" i="1"/>
  <c r="BH370" i="1"/>
  <c r="BF370" i="1"/>
  <c r="BF369" i="1"/>
  <c r="BF368" i="1"/>
  <c r="BF367" i="1"/>
  <c r="BF366" i="1"/>
  <c r="BG365" i="1"/>
  <c r="BG364" i="1"/>
  <c r="BG363" i="1"/>
  <c r="BG362" i="1"/>
  <c r="BO361" i="1"/>
  <c r="AU361" i="1"/>
  <c r="AT361" i="1"/>
  <c r="BO360" i="1"/>
  <c r="AU360" i="1"/>
  <c r="AT360" i="1"/>
  <c r="BO359" i="1"/>
  <c r="AU359" i="1"/>
  <c r="AT359" i="1"/>
  <c r="BO358" i="1"/>
  <c r="AU358" i="1"/>
  <c r="AT358" i="1"/>
  <c r="BF357" i="1"/>
  <c r="AU357" i="1"/>
  <c r="AT357" i="1"/>
  <c r="BF356" i="1"/>
  <c r="AU356" i="1"/>
  <c r="AT356" i="1"/>
  <c r="BF355" i="1"/>
  <c r="AU355" i="1"/>
  <c r="AT355" i="1"/>
  <c r="AU351" i="1"/>
  <c r="AU350" i="1"/>
  <c r="BD341" i="1"/>
  <c r="AU341" i="1"/>
  <c r="BD340" i="1"/>
  <c r="AU340" i="1"/>
  <c r="BD339" i="1"/>
  <c r="AU339" i="1"/>
  <c r="BD338" i="1"/>
  <c r="AU338" i="1"/>
  <c r="BF337" i="1"/>
  <c r="BF336" i="1"/>
  <c r="BF335" i="1"/>
  <c r="BF334" i="1"/>
  <c r="BF333" i="1"/>
  <c r="BF332" i="1"/>
  <c r="BN331" i="1"/>
  <c r="BG331" i="1"/>
  <c r="AV331" i="1"/>
  <c r="BF331" i="1"/>
  <c r="BD331" i="1"/>
  <c r="BC331" i="1"/>
  <c r="BB331" i="1"/>
  <c r="AT331" i="1"/>
  <c r="BN330" i="1"/>
  <c r="BG330" i="1"/>
  <c r="AV330" i="1"/>
  <c r="BF330" i="1" s="1"/>
  <c r="BD330" i="1"/>
  <c r="BC330" i="1"/>
  <c r="BB330" i="1"/>
  <c r="AT330" i="1"/>
  <c r="BN329" i="1"/>
  <c r="BG329" i="1"/>
  <c r="AV329" i="1"/>
  <c r="BF329" i="1" s="1"/>
  <c r="BD329" i="1"/>
  <c r="BC329" i="1"/>
  <c r="BB329" i="1"/>
  <c r="AT329" i="1"/>
  <c r="BN328" i="1"/>
  <c r="BG328" i="1"/>
  <c r="AV328" i="1"/>
  <c r="BF328" i="1"/>
  <c r="BD328" i="1"/>
  <c r="BC328" i="1"/>
  <c r="BB328" i="1"/>
  <c r="AT328" i="1"/>
  <c r="BN327" i="1"/>
  <c r="BG327" i="1"/>
  <c r="AV327" i="1"/>
  <c r="BF327" i="1" s="1"/>
  <c r="BD327" i="1"/>
  <c r="BC327" i="1"/>
  <c r="BB327" i="1"/>
  <c r="AT327" i="1"/>
  <c r="BN326" i="1"/>
  <c r="BG326" i="1"/>
  <c r="AV326" i="1"/>
  <c r="BF326" i="1" s="1"/>
  <c r="BD326" i="1"/>
  <c r="BC326" i="1"/>
  <c r="BB326" i="1"/>
  <c r="AT326" i="1"/>
  <c r="BN325" i="1"/>
  <c r="BG325" i="1"/>
  <c r="AV325" i="1"/>
  <c r="BF325" i="1"/>
  <c r="BD325" i="1"/>
  <c r="BC325" i="1"/>
  <c r="BB325" i="1"/>
  <c r="AT325" i="1"/>
  <c r="AU324" i="1"/>
  <c r="AU323" i="1"/>
  <c r="AU322" i="1"/>
  <c r="AU321" i="1"/>
  <c r="BM320" i="1"/>
  <c r="BD320" i="1"/>
  <c r="AV320" i="1"/>
  <c r="AU320" i="1"/>
  <c r="AT320" i="1"/>
  <c r="BM319" i="1"/>
  <c r="BD319" i="1"/>
  <c r="AV319" i="1"/>
  <c r="AU319" i="1"/>
  <c r="AT319" i="1"/>
  <c r="BM318" i="1"/>
  <c r="BD318" i="1"/>
  <c r="AV318" i="1"/>
  <c r="AU318" i="1"/>
  <c r="AT318" i="1"/>
  <c r="BM317" i="1"/>
  <c r="BD317" i="1"/>
  <c r="AV317" i="1"/>
  <c r="AU317" i="1"/>
  <c r="AT317" i="1"/>
  <c r="AU314" i="1"/>
  <c r="AV312" i="1"/>
  <c r="AK312" i="1"/>
  <c r="AV310" i="1"/>
  <c r="AK310" i="1"/>
  <c r="BG309" i="1"/>
  <c r="BG308" i="1"/>
  <c r="BG307" i="1"/>
  <c r="BF282" i="1"/>
  <c r="BC282" i="1"/>
  <c r="BB282" i="1"/>
  <c r="AV282" i="1"/>
  <c r="AU282" i="1"/>
  <c r="AT282" i="1"/>
  <c r="BF281" i="1"/>
  <c r="BC281" i="1"/>
  <c r="BB281" i="1"/>
  <c r="AV281" i="1"/>
  <c r="AU281" i="1"/>
  <c r="AT281" i="1"/>
  <c r="BF280" i="1"/>
  <c r="BC280" i="1"/>
  <c r="AV280" i="1"/>
  <c r="AU280" i="1"/>
  <c r="AT280" i="1"/>
  <c r="BF279" i="1"/>
  <c r="BC279" i="1"/>
  <c r="BB279" i="1"/>
  <c r="AV279" i="1"/>
  <c r="AU279" i="1"/>
  <c r="AT279" i="1"/>
  <c r="BF278" i="1"/>
  <c r="BC278" i="1"/>
  <c r="BB278" i="1"/>
  <c r="AV278" i="1"/>
  <c r="AU278" i="1"/>
  <c r="AT278" i="1"/>
  <c r="BF277" i="1"/>
  <c r="BC277" i="1"/>
  <c r="AV277" i="1"/>
  <c r="AU277" i="1"/>
  <c r="AT277" i="1"/>
  <c r="BF276" i="1"/>
  <c r="BC276" i="1"/>
  <c r="BB276" i="1"/>
  <c r="AV276" i="1"/>
  <c r="AU276" i="1"/>
  <c r="AT276" i="1"/>
  <c r="BF275" i="1"/>
  <c r="BC275" i="1"/>
  <c r="BB275" i="1"/>
  <c r="AV275" i="1"/>
  <c r="AU275" i="1"/>
  <c r="AT275" i="1"/>
  <c r="BF274" i="1"/>
  <c r="BC274" i="1"/>
  <c r="AV274" i="1"/>
  <c r="AU274" i="1"/>
  <c r="AT274" i="1"/>
  <c r="BF273" i="1"/>
  <c r="BC273" i="1"/>
  <c r="BB273" i="1"/>
  <c r="AV273" i="1"/>
  <c r="AU273" i="1"/>
  <c r="AT273" i="1"/>
  <c r="BF272" i="1"/>
  <c r="BC272" i="1"/>
  <c r="BB272" i="1"/>
  <c r="AV272" i="1"/>
  <c r="AU272" i="1"/>
  <c r="AT272" i="1"/>
  <c r="BF271" i="1"/>
  <c r="BC271" i="1"/>
  <c r="AV271" i="1"/>
  <c r="AU271" i="1"/>
  <c r="AT271" i="1"/>
  <c r="BH270" i="1"/>
  <c r="BF270" i="1"/>
  <c r="BH269" i="1"/>
  <c r="BF269" i="1"/>
  <c r="BH268" i="1"/>
  <c r="BF268" i="1"/>
  <c r="BH267" i="1"/>
  <c r="BF267" i="1"/>
  <c r="BH266" i="1"/>
  <c r="BF266" i="1"/>
  <c r="BH265" i="1"/>
  <c r="BF265" i="1"/>
  <c r="BH264" i="1"/>
  <c r="BF264" i="1"/>
  <c r="BH263" i="1"/>
  <c r="BF263" i="1"/>
  <c r="BH262" i="1"/>
  <c r="BF262" i="1"/>
  <c r="BG261" i="1"/>
  <c r="AV261" i="1"/>
  <c r="BG260" i="1"/>
  <c r="AV260" i="1"/>
  <c r="BG259" i="1"/>
  <c r="AV259" i="1"/>
  <c r="BG258" i="1"/>
  <c r="AV258" i="1"/>
  <c r="AT258" i="1"/>
  <c r="BG257" i="1"/>
  <c r="BD257" i="1"/>
  <c r="AU257" i="1"/>
  <c r="BG256" i="1"/>
  <c r="BD256" i="1"/>
  <c r="AU256" i="1"/>
  <c r="BG255" i="1"/>
  <c r="BD255" i="1"/>
  <c r="AU255" i="1"/>
  <c r="BG254" i="1"/>
  <c r="BD254" i="1"/>
  <c r="AU254" i="1"/>
  <c r="BG253" i="1"/>
  <c r="BD253" i="1"/>
  <c r="AU253" i="1"/>
  <c r="BG252" i="1"/>
  <c r="BD252" i="1"/>
  <c r="AU252" i="1"/>
  <c r="BG251" i="1"/>
  <c r="BD251" i="1"/>
  <c r="AU251" i="1"/>
  <c r="BG250" i="1"/>
  <c r="BD250" i="1"/>
  <c r="AU250" i="1"/>
  <c r="BG249" i="1"/>
  <c r="BD249" i="1"/>
  <c r="AU249" i="1"/>
  <c r="BG248" i="1"/>
  <c r="BD248" i="1"/>
  <c r="AU248" i="1"/>
  <c r="BG247" i="1"/>
  <c r="BD247" i="1"/>
  <c r="AU247" i="1"/>
  <c r="AT247" i="1"/>
  <c r="BG246" i="1"/>
  <c r="BD246" i="1"/>
  <c r="AU246" i="1"/>
  <c r="AT246" i="1"/>
  <c r="BG245" i="1"/>
  <c r="BD245" i="1"/>
  <c r="AU245" i="1"/>
  <c r="AT245" i="1"/>
  <c r="BG244" i="1"/>
  <c r="BD244" i="1"/>
  <c r="AU244" i="1"/>
  <c r="AT244" i="1"/>
  <c r="BG243" i="1"/>
  <c r="BD243" i="1"/>
  <c r="AU243" i="1"/>
  <c r="AT243" i="1"/>
  <c r="BG242" i="1"/>
  <c r="BD242" i="1"/>
  <c r="AU242" i="1"/>
  <c r="AT242" i="1"/>
  <c r="BG241" i="1"/>
  <c r="BD241" i="1"/>
  <c r="AU241" i="1"/>
  <c r="AT241" i="1"/>
  <c r="BG240" i="1"/>
  <c r="BD240" i="1"/>
  <c r="AU240" i="1"/>
  <c r="AT240" i="1"/>
  <c r="BG239" i="1"/>
  <c r="BD239" i="1"/>
  <c r="AU239" i="1"/>
  <c r="AT239" i="1"/>
  <c r="BG238" i="1"/>
  <c r="BD238" i="1"/>
  <c r="AU238" i="1"/>
  <c r="AT238" i="1"/>
  <c r="BG237" i="1"/>
  <c r="BD237" i="1"/>
  <c r="AU237" i="1"/>
  <c r="AT237" i="1"/>
  <c r="BG236" i="1"/>
  <c r="BD236" i="1"/>
  <c r="AU236" i="1"/>
  <c r="AT236" i="1"/>
  <c r="BG235" i="1"/>
  <c r="BD235" i="1"/>
  <c r="AU235" i="1"/>
  <c r="AT235" i="1"/>
  <c r="BG234" i="1"/>
  <c r="BD234" i="1"/>
  <c r="AU234" i="1"/>
  <c r="AT234" i="1"/>
  <c r="BG233" i="1"/>
  <c r="BD233" i="1"/>
  <c r="AU233" i="1"/>
  <c r="AT233" i="1"/>
  <c r="BG232" i="1"/>
  <c r="BD232" i="1"/>
  <c r="AU232" i="1"/>
  <c r="AT232" i="1"/>
  <c r="BG231" i="1"/>
  <c r="BD231" i="1"/>
  <c r="AU231" i="1"/>
  <c r="AT231" i="1"/>
  <c r="BD220" i="1"/>
  <c r="AU220" i="1"/>
  <c r="AT220" i="1"/>
  <c r="BD219" i="1"/>
  <c r="AU219" i="1"/>
  <c r="AT219" i="1"/>
  <c r="BD218" i="1"/>
  <c r="AU218" i="1"/>
  <c r="AT218" i="1"/>
  <c r="BD217" i="1"/>
  <c r="AU217" i="1"/>
  <c r="AT217" i="1"/>
  <c r="BF216" i="1"/>
  <c r="BD216" i="1"/>
  <c r="AU216" i="1"/>
  <c r="AU215" i="1"/>
  <c r="AU214" i="1"/>
  <c r="AU213" i="1"/>
  <c r="AU212" i="1"/>
  <c r="BG187" i="1"/>
  <c r="BG186" i="1"/>
  <c r="BG185" i="1"/>
  <c r="BG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G123" i="1"/>
  <c r="BH122" i="1"/>
  <c r="BG122" i="1"/>
  <c r="BH121" i="1"/>
  <c r="BG121" i="1"/>
  <c r="BH120" i="1"/>
  <c r="BG120" i="1"/>
  <c r="BH119" i="1"/>
  <c r="BG119" i="1"/>
  <c r="BH118" i="1"/>
  <c r="BG118" i="1"/>
  <c r="BH117" i="1"/>
  <c r="BG117" i="1"/>
  <c r="BH116" i="1"/>
  <c r="BG116" i="1"/>
  <c r="BH115" i="1"/>
  <c r="BG115" i="1"/>
  <c r="BH114" i="1"/>
  <c r="BG114" i="1"/>
  <c r="BH113" i="1"/>
  <c r="BG113" i="1"/>
  <c r="BH112" i="1"/>
  <c r="BG112" i="1"/>
  <c r="BH111" i="1"/>
  <c r="BG111" i="1"/>
  <c r="BH110" i="1"/>
  <c r="BG110" i="1"/>
  <c r="BH109" i="1"/>
  <c r="BG109" i="1"/>
  <c r="BH108" i="1"/>
  <c r="BG108" i="1"/>
  <c r="BH107" i="1"/>
  <c r="BG107" i="1"/>
  <c r="BH106" i="1"/>
  <c r="BG106" i="1"/>
  <c r="BH105" i="1"/>
  <c r="BG105" i="1"/>
  <c r="BH104" i="1"/>
  <c r="BG104" i="1"/>
  <c r="BF103" i="1"/>
  <c r="BC103" i="1"/>
  <c r="BB103" i="1"/>
  <c r="AV103" i="1"/>
  <c r="AU103" i="1"/>
  <c r="AT103" i="1"/>
  <c r="BF102" i="1"/>
  <c r="BC102" i="1"/>
  <c r="AV102" i="1"/>
  <c r="AU102" i="1"/>
  <c r="AT102" i="1"/>
  <c r="AU101" i="1"/>
  <c r="AT101" i="1"/>
  <c r="AU100" i="1"/>
  <c r="AT100" i="1"/>
  <c r="AU99" i="1"/>
  <c r="AT99" i="1"/>
  <c r="BM98" i="1"/>
  <c r="BF98" i="1"/>
  <c r="BD98" i="1"/>
  <c r="AV98" i="1"/>
  <c r="BM97" i="1"/>
  <c r="BF97" i="1"/>
  <c r="BD97" i="1"/>
  <c r="AV97" i="1"/>
  <c r="BM96" i="1"/>
  <c r="BF96" i="1"/>
  <c r="BD96" i="1"/>
  <c r="BM95" i="1"/>
  <c r="BF95" i="1"/>
  <c r="BD95" i="1"/>
  <c r="BM94" i="1"/>
  <c r="BF94" i="1"/>
  <c r="BD94" i="1"/>
  <c r="BM93" i="1"/>
  <c r="BF93" i="1"/>
  <c r="BD93" i="1"/>
  <c r="BM92" i="1"/>
  <c r="BF92" i="1"/>
  <c r="BD92" i="1"/>
  <c r="BM91" i="1"/>
  <c r="BF91" i="1"/>
  <c r="BD91" i="1"/>
  <c r="AQ90" i="1"/>
  <c r="AP90" i="1"/>
  <c r="AO90" i="1"/>
  <c r="AQ89" i="1"/>
  <c r="AP89" i="1"/>
  <c r="AO89" i="1"/>
  <c r="AQ88" i="1"/>
  <c r="AP88" i="1"/>
  <c r="AO88" i="1"/>
  <c r="AQ87" i="1"/>
  <c r="AP87" i="1"/>
  <c r="AO87" i="1"/>
  <c r="AQ86" i="1"/>
  <c r="AP86" i="1"/>
  <c r="AO86" i="1"/>
  <c r="AQ85" i="1"/>
  <c r="AP85" i="1"/>
  <c r="AO85" i="1"/>
  <c r="AQ84" i="1"/>
  <c r="AP84" i="1"/>
  <c r="AO84" i="1"/>
  <c r="AV83" i="1"/>
  <c r="AK83" i="1"/>
  <c r="AV82" i="1"/>
  <c r="AK82" i="1"/>
  <c r="AV77" i="1"/>
  <c r="AK77" i="1"/>
  <c r="AV76" i="1"/>
  <c r="AK76" i="1"/>
  <c r="AQ75" i="1"/>
  <c r="AP75" i="1"/>
  <c r="AO75" i="1"/>
  <c r="AQ74" i="1"/>
  <c r="AP74" i="1"/>
  <c r="AO74" i="1"/>
  <c r="AQ73" i="1"/>
  <c r="AP73" i="1"/>
  <c r="AO73" i="1"/>
  <c r="AQ72" i="1"/>
  <c r="AP72" i="1"/>
  <c r="AO72" i="1"/>
  <c r="AQ71" i="1"/>
  <c r="AP71" i="1"/>
  <c r="AO71" i="1"/>
  <c r="AQ70" i="1"/>
  <c r="AP70" i="1"/>
  <c r="AO70" i="1"/>
  <c r="AQ69" i="1"/>
  <c r="AP69" i="1"/>
  <c r="AO69" i="1"/>
  <c r="AQ68" i="1"/>
  <c r="AP68" i="1"/>
  <c r="AO68" i="1"/>
  <c r="AQ67" i="1"/>
  <c r="AP67" i="1"/>
  <c r="AO67" i="1"/>
  <c r="AU66" i="1"/>
  <c r="AT66" i="1"/>
  <c r="AU65" i="1"/>
  <c r="AT65" i="1"/>
  <c r="AU64" i="1"/>
  <c r="AT64" i="1"/>
  <c r="AU63" i="1"/>
  <c r="AT63" i="1"/>
  <c r="BG62" i="1"/>
  <c r="BG61" i="1"/>
  <c r="BG60" i="1"/>
  <c r="BG59" i="1"/>
  <c r="BG58" i="1"/>
  <c r="BG57" i="1"/>
  <c r="BG56" i="1"/>
  <c r="BG55" i="1"/>
  <c r="BG54" i="1"/>
  <c r="BG53" i="1"/>
  <c r="BG52" i="1"/>
  <c r="BG51" i="1"/>
  <c r="BG50" i="1"/>
  <c r="BG49" i="1"/>
  <c r="BG48" i="1"/>
  <c r="BG47" i="1"/>
  <c r="BG46" i="1"/>
  <c r="AU46" i="1"/>
  <c r="BG45" i="1"/>
  <c r="AU45" i="1"/>
  <c r="BG44" i="1"/>
  <c r="AU44" i="1"/>
  <c r="BG43" i="1"/>
  <c r="AU43" i="1"/>
  <c r="AV42" i="1"/>
  <c r="BO41" i="1"/>
  <c r="BM41" i="1"/>
  <c r="BD41" i="1"/>
  <c r="AU41" i="1"/>
  <c r="BO40" i="1"/>
  <c r="BM40" i="1"/>
  <c r="BD40" i="1"/>
  <c r="AU40" i="1"/>
  <c r="BO39" i="1"/>
  <c r="BM39" i="1"/>
  <c r="BD39" i="1"/>
  <c r="AU39" i="1"/>
  <c r="BO38" i="1"/>
  <c r="BM38" i="1"/>
  <c r="BD38" i="1"/>
  <c r="BO37" i="1"/>
  <c r="BM37" i="1"/>
  <c r="BD37" i="1"/>
  <c r="BO36" i="1"/>
  <c r="BM36" i="1"/>
  <c r="BD36" i="1"/>
  <c r="BO35" i="1"/>
  <c r="BM35" i="1"/>
  <c r="BD35" i="1"/>
  <c r="BO34" i="1"/>
  <c r="BM34" i="1"/>
  <c r="BD34" i="1"/>
  <c r="BO33" i="1"/>
  <c r="BM33" i="1"/>
  <c r="BD33" i="1"/>
  <c r="BG32" i="1"/>
  <c r="AU32" i="1"/>
  <c r="AT32" i="1"/>
  <c r="BG31" i="1"/>
  <c r="AU31" i="1"/>
  <c r="AT31" i="1"/>
  <c r="BG30" i="1"/>
  <c r="AU30" i="1"/>
  <c r="AT30" i="1"/>
  <c r="BG29" i="1"/>
  <c r="AU29" i="1"/>
  <c r="AT29" i="1"/>
  <c r="BG28" i="1"/>
  <c r="AU28" i="1"/>
  <c r="AT28" i="1"/>
  <c r="BG27" i="1"/>
  <c r="AU27" i="1"/>
  <c r="AT27" i="1"/>
  <c r="BG26" i="1"/>
  <c r="AU26" i="1"/>
  <c r="AT26" i="1"/>
  <c r="BG25" i="1"/>
  <c r="AU25" i="1"/>
  <c r="AT25" i="1"/>
  <c r="BG24" i="1"/>
  <c r="AU24" i="1"/>
  <c r="AT24" i="1"/>
  <c r="BG23" i="1"/>
  <c r="AU23" i="1"/>
  <c r="AT23" i="1"/>
  <c r="AU18" i="1"/>
  <c r="AT18" i="1"/>
  <c r="AU17" i="1"/>
  <c r="AT17" i="1"/>
  <c r="BO16" i="1"/>
  <c r="BM16" i="1"/>
  <c r="AT16" i="1"/>
  <c r="BO15" i="1"/>
  <c r="BM15" i="1"/>
  <c r="AT15" i="1"/>
  <c r="BO14" i="1"/>
  <c r="BO13" i="1"/>
  <c r="BO12" i="1"/>
  <c r="BO11" i="1"/>
  <c r="BO10" i="1"/>
  <c r="BO9" i="1"/>
  <c r="BO8" i="1"/>
  <c r="BO7" i="1"/>
  <c r="BF6" i="1"/>
  <c r="BD6" i="1"/>
  <c r="BF5" i="1"/>
  <c r="BD5" i="1"/>
  <c r="AU5" i="1"/>
  <c r="AT5" i="1"/>
  <c r="BF4" i="1"/>
  <c r="BD4" i="1"/>
  <c r="AU4" i="1"/>
  <c r="AT4" i="1"/>
  <c r="BF3" i="1"/>
  <c r="BD3" i="1"/>
  <c r="AU3" i="1"/>
  <c r="AT3" i="1"/>
  <c r="BF2" i="1"/>
  <c r="BD2" i="1"/>
  <c r="AU2" i="1"/>
  <c r="AT2" i="1"/>
</calcChain>
</file>

<file path=xl/sharedStrings.xml><?xml version="1.0" encoding="utf-8"?>
<sst xmlns="http://schemas.openxmlformats.org/spreadsheetml/2006/main" count="40279" uniqueCount="2366">
  <si>
    <t>initials</t>
  </si>
  <si>
    <t>es_ID</t>
  </si>
  <si>
    <t>study_ID</t>
  </si>
  <si>
    <t>species_ID</t>
  </si>
  <si>
    <t>population_ID</t>
  </si>
  <si>
    <t>family_ID</t>
  </si>
  <si>
    <t>shared_trt_ID</t>
  </si>
  <si>
    <t>cohort_ID</t>
  </si>
  <si>
    <t>note_ID</t>
  </si>
  <si>
    <t>data_source</t>
  </si>
  <si>
    <t>data_url</t>
  </si>
  <si>
    <t>fig_file_name</t>
  </si>
  <si>
    <t>data_type</t>
  </si>
  <si>
    <t>data_file_name</t>
  </si>
  <si>
    <t>peer-reviewed</t>
  </si>
  <si>
    <t>ref</t>
  </si>
  <si>
    <t>title</t>
  </si>
  <si>
    <t>pub_year</t>
  </si>
  <si>
    <t>journal</t>
  </si>
  <si>
    <t>thesis_chapter</t>
  </si>
  <si>
    <t>doi</t>
  </si>
  <si>
    <t>citation</t>
  </si>
  <si>
    <t>phylum</t>
  </si>
  <si>
    <t>class</t>
  </si>
  <si>
    <t>order</t>
  </si>
  <si>
    <t>family</t>
  </si>
  <si>
    <t>genus</t>
  </si>
  <si>
    <t>species</t>
  </si>
  <si>
    <t>genus_species</t>
  </si>
  <si>
    <t>habitat</t>
  </si>
  <si>
    <t>taxonomic_group</t>
  </si>
  <si>
    <t>reproduction_mode</t>
  </si>
  <si>
    <t>life_stage_manip</t>
  </si>
  <si>
    <t>life_stage_tested</t>
  </si>
  <si>
    <t>brought_common_temp</t>
  </si>
  <si>
    <t>mobility_life_stage_manip</t>
  </si>
  <si>
    <t>time_common_temp</t>
  </si>
  <si>
    <t>common_temp</t>
  </si>
  <si>
    <t>exp_design</t>
  </si>
  <si>
    <t>origin_hatching</t>
  </si>
  <si>
    <t>latitude</t>
  </si>
  <si>
    <t>longitude</t>
  </si>
  <si>
    <t>elevation</t>
  </si>
  <si>
    <t>season</t>
  </si>
  <si>
    <t>year</t>
  </si>
  <si>
    <t>body_length</t>
  </si>
  <si>
    <t>body_mass</t>
  </si>
  <si>
    <t>age_tested</t>
  </si>
  <si>
    <t>sex</t>
  </si>
  <si>
    <t>housing_temp</t>
  </si>
  <si>
    <t>incubation_independent</t>
  </si>
  <si>
    <t>metric</t>
  </si>
  <si>
    <t>endpoint</t>
  </si>
  <si>
    <t>acc_temp_low</t>
  </si>
  <si>
    <t>acc_temp_high</t>
  </si>
  <si>
    <t>acc_temp_var</t>
  </si>
  <si>
    <t>is_acc_temp_fluctuating</t>
  </si>
  <si>
    <t>acc_duration</t>
  </si>
  <si>
    <t>ramping</t>
  </si>
  <si>
    <t>set_time</t>
  </si>
  <si>
    <t>n_test_temp</t>
  </si>
  <si>
    <t>n_replicates_per_temp</t>
  </si>
  <si>
    <t>n_animals_per_replicate</t>
  </si>
  <si>
    <t>humidity</t>
  </si>
  <si>
    <t>oxygen</t>
  </si>
  <si>
    <t>salinity</t>
  </si>
  <si>
    <t>pH</t>
  </si>
  <si>
    <t>photoperiod</t>
  </si>
  <si>
    <t>gravidity</t>
  </si>
  <si>
    <t>starved</t>
  </si>
  <si>
    <t>minor_concerns</t>
  </si>
  <si>
    <t>major_concerns</t>
  </si>
  <si>
    <t>notes_moderators</t>
  </si>
  <si>
    <t>mean_HT_low</t>
  </si>
  <si>
    <t>sd_HT_low</t>
  </si>
  <si>
    <t>n_HT_low</t>
  </si>
  <si>
    <t>mean_HT_high</t>
  </si>
  <si>
    <t>sd_HT_high</t>
  </si>
  <si>
    <t>n_HT_high</t>
  </si>
  <si>
    <t>error_type</t>
  </si>
  <si>
    <t>notes_es</t>
  </si>
  <si>
    <t>PP</t>
  </si>
  <si>
    <t>Same cohort ID because nimals were re-used at different time points (2 weeks and 6 weeks)</t>
  </si>
  <si>
    <t>dataset</t>
  </si>
  <si>
    <t>https://doi.org/10.5061/dryad.k4pf189</t>
  </si>
  <si>
    <t>published</t>
  </si>
  <si>
    <t>Abayarathna_et_al_2019</t>
  </si>
  <si>
    <t>Higher incubation temperatures produce long-lasting upward
shifts in cold tolerance, but not heat tolerance, of hatchling geckos</t>
  </si>
  <si>
    <t>Biology Open</t>
  </si>
  <si>
    <t>10.1242/bio.042564</t>
  </si>
  <si>
    <t>Abayarathna, Theja, Brad R. Murray, and Jonathan K. Webb. "Higher incubation temperatures produce long-lasting upward shifts in cold tolerance, but not heat tolerance, of hatchling geckos." Biology open 8, no. 4 (2019).</t>
  </si>
  <si>
    <t>Chordata</t>
  </si>
  <si>
    <t>Reptilia</t>
  </si>
  <si>
    <t>Squamata</t>
  </si>
  <si>
    <t>Diplodactylidae</t>
  </si>
  <si>
    <t>Amalosia</t>
  </si>
  <si>
    <t>lesueurii</t>
  </si>
  <si>
    <t>Amalosia lesueurii</t>
  </si>
  <si>
    <t>terrestrial</t>
  </si>
  <si>
    <t>reptile</t>
  </si>
  <si>
    <t>oviparous</t>
  </si>
  <si>
    <t>embryo</t>
  </si>
  <si>
    <t>juvenile</t>
  </si>
  <si>
    <t>yes</t>
  </si>
  <si>
    <t>immobile</t>
  </si>
  <si>
    <t>D</t>
  </si>
  <si>
    <t>lab</t>
  </si>
  <si>
    <t>spring</t>
  </si>
  <si>
    <t>unknown</t>
  </si>
  <si>
    <t>CTmax</t>
  </si>
  <si>
    <t>LRR</t>
  </si>
  <si>
    <t>fluctuating</t>
  </si>
  <si>
    <t xml:space="preserve">Nowra population. Latitude, longitude and elevation estimated from Google Earth. Mean SVL and body mass was calculated between the two acclimation groups using the raw data. Mean temperatures of acclimation were used, as well as mean variation around those temperatures. Duration of incubation calculated from raw data, as the mean between both incubation treatments. </t>
  </si>
  <si>
    <t>sd</t>
  </si>
  <si>
    <t>Data extracted from the raw data</t>
  </si>
  <si>
    <t xml:space="preserve">0.35629674	</t>
  </si>
  <si>
    <t>Same cohort ID because nimals were re-used at different time points (2 weeks, 6 weeks and 6 months)</t>
  </si>
  <si>
    <t xml:space="preserve">Dhawaral population. Latitude, longitude and elevation estimated from Google Earth. Mean SVL and body mass was calculated between the two acclimation groups using the raw data. Mean temperatures of acclimation were used, as well as mean variation around those temperatures. Duration of incubation calculated from raw data, as the mean between both incubation treatments. </t>
  </si>
  <si>
    <t>Treatments re-used in stepwise comparisons</t>
  </si>
  <si>
    <t>Fig1A</t>
  </si>
  <si>
    <t>001_Akhtar_2013_Fig1A</t>
  </si>
  <si>
    <t>Akhtar_et_al_2013</t>
  </si>
  <si>
    <t>Thermal tolerance, oxygen consumption
and haemato-biochemical variables of Tor putitora
juveniles acclimated to five temperatures</t>
  </si>
  <si>
    <t>Fish Physiology and Biochemistry</t>
  </si>
  <si>
    <t>10.1007/s10695-013-9793-7</t>
  </si>
  <si>
    <t>Akhtar, M. S., A. K. Pal, N. P. Sahu, A. Ciji, and P. C. Mahanta. "Thermal tolerance, oxygen consumption and haemato-biochemical variables of Tor putitora juveniles acclimated to five temperatures." Fish physiology and biochemistry 39, no. 6 (2013): 1387-1398.</t>
  </si>
  <si>
    <t>Actinopterygii</t>
  </si>
  <si>
    <t>Cypriniformes</t>
  </si>
  <si>
    <t>Cyprinidae</t>
  </si>
  <si>
    <t>Tor</t>
  </si>
  <si>
    <t>putitora</t>
  </si>
  <si>
    <t>Tor putitora</t>
  </si>
  <si>
    <t>aquatic</t>
  </si>
  <si>
    <t>fish</t>
  </si>
  <si>
    <t>no</t>
  </si>
  <si>
    <t>mobile</t>
  </si>
  <si>
    <t>A</t>
  </si>
  <si>
    <t>fishery</t>
  </si>
  <si>
    <t>LOE</t>
  </si>
  <si>
    <t>constant</t>
  </si>
  <si>
    <t xml:space="preserve">Coordinates not reported because only the location of the fishery was provided. Mean pH concentration was calculated from Tab1. </t>
  </si>
  <si>
    <t>Data digitised from figure</t>
  </si>
  <si>
    <t>death</t>
  </si>
  <si>
    <t>main text</t>
  </si>
  <si>
    <t>Ashaf-Ud-Doulah_et_al_2020</t>
  </si>
  <si>
    <t>High temperature acclimation alters upper thermal limits and growth performance of Indian major carp, rohu, Labeo rohita (Hamilton, 1822)</t>
  </si>
  <si>
    <t>Journal of Thermal Biology</t>
  </si>
  <si>
    <t>https://doi.org/10.1016/j.jtherbio.2020.102738</t>
  </si>
  <si>
    <t>Ashaf-Ud-Doulah, Mohammad, Abdullah Al Mamun, Mohammad Lutfar Rahman, SM Majharul Islam, Rayeda Jannat, Mostafa Ali Reza Hossain, and Md Shahjahan. "High temperature acclimation alters upper thermal limits and growth performance of Indian major carp, rohu, Labeo rohita (Hamilton, 1822)." Journal of Thermal Biology 93 (2020): 102738.</t>
  </si>
  <si>
    <t>Labeo</t>
  </si>
  <si>
    <t>rohita</t>
  </si>
  <si>
    <t>Labeo rohita</t>
  </si>
  <si>
    <t>Coordinates not reported because only the location of the fishery was provided. Mean pH and oxygen concentrations calculated from Tab1 as the mean between the start and end of the trial between both acclimation treatments</t>
  </si>
  <si>
    <t>Data taken from the main text</t>
  </si>
  <si>
    <t>Same cohort of animals were used for slow and rapid warming</t>
  </si>
  <si>
    <t>https://doi.org/10.6084/m9.figshare.12311102.v2</t>
  </si>
  <si>
    <t>Asheim_et_al_2020</t>
  </si>
  <si>
    <t>Rapid-warming tolerance correlates with tolerance to slow
warming but not growth at non-optimal temperatures in zebrafish</t>
  </si>
  <si>
    <t>Journal of Experimental Biology</t>
  </si>
  <si>
    <t>10.1242/jeb.229195</t>
  </si>
  <si>
    <t>Åsheim, Eirik R., Anna H. Andreassen, Rachael Morgan, and Fredrik Jutfelt. "Rapid-warming tolerance correlates with tolerance to slow warming but not growth at non-optimal temperatures in zebrafish." Journal of Experimental Biology 223, no. 23 (2020).</t>
  </si>
  <si>
    <t>Danio</t>
  </si>
  <si>
    <t>rerio</t>
  </si>
  <si>
    <t>Danio rerio</t>
  </si>
  <si>
    <t>Coordinates not reported because the precise location of sampling was not reported (only report "West Bengal, India"). I took the mean body length and body mass between the two acclimation temperatures, calculated from the raw data.</t>
  </si>
  <si>
    <t>http://dx.doi.org/10.17632/kvj8k99y3f.1</t>
  </si>
  <si>
    <t>Bai_et_al_2019</t>
  </si>
  <si>
    <t>Independent and combined effects of daytime heat stress
and night-time recovery determine thermal performance</t>
  </si>
  <si>
    <t>10.1242/bio.038141</t>
  </si>
  <si>
    <t>Bai, Chun-Ming, Gang Ma, Wan-Zhi Cai, and Chun-Sen Ma. "Independent and combined effects of daytime heat stress and night-time recovery determine thermal performance." Biology open 8, no. 3 (2019).</t>
  </si>
  <si>
    <t>Arthropoda</t>
  </si>
  <si>
    <t>Insecta</t>
  </si>
  <si>
    <t>Coleoptera</t>
  </si>
  <si>
    <t>Coccinellidae</t>
  </si>
  <si>
    <t>Propylea</t>
  </si>
  <si>
    <t>japonica</t>
  </si>
  <si>
    <t>Propylea japonica</t>
  </si>
  <si>
    <t>terrestrial invertebrate</t>
  </si>
  <si>
    <t>C</t>
  </si>
  <si>
    <t>fall</t>
  </si>
  <si>
    <t>other</t>
  </si>
  <si>
    <t xml:space="preserve">Endpoint was loss of locomotion and "started to twitch". Heating rate was changed between 25 to 31C (i.e. 0.25C/min) and 31C to 42C (i.e. 0.1C/min). We took 0.1C/min as the ramping rate because all animals reached CTmax at temperatures higher than 31C.  Acclimation treatments were variable (e.g. 28C during the day, 15C during the night) but comparable between treatments. Here, we compared the treatments 28-15 and 35-15. Mean humidity was taken. </t>
  </si>
  <si>
    <t xml:space="preserve">Endpoint was loss of locomotion and "started to twitch". Heating rate was changed between 25 to 31C (i.e. 0.25C/min) and 31C to 42C (i.e. 0.1C/min). We took 0.1C/min as the ramping rate because all animals reached CTmax at temperatures higher than 31C.  Acclimation treatments were variable (e.g. 28C during the day, 15C during the night) but comparable between treatments. Here, we compared the treatments 28-22 and 35-22. Mean humidity was taken. </t>
  </si>
  <si>
    <t xml:space="preserve">Same cohort because the same animals were measured with two different endpoints: LOE and death. </t>
  </si>
  <si>
    <t>Fig1</t>
  </si>
  <si>
    <t>005_Becker_Genoway_1979_Fig1</t>
  </si>
  <si>
    <t>Becker_and_Genoway_1979</t>
  </si>
  <si>
    <t>Evaluation of the critical thermal maximum for determining thermal tolerance of freshwater fish</t>
  </si>
  <si>
    <t>Environmental Biology of Fishes</t>
  </si>
  <si>
    <t>Becker, C. Dale, and Robert G. Genoway. "Evaluation of the critical thermal maximum for determining thermal tolerance of freshwater fish." Environmental Biology of Fishes 4, no. 3 (1979): 245-256.</t>
  </si>
  <si>
    <t>Salmoniformes</t>
  </si>
  <si>
    <t>Salmonidae</t>
  </si>
  <si>
    <t>Oncorhynchus</t>
  </si>
  <si>
    <t>kisutch</t>
  </si>
  <si>
    <t>Oncorhynchus kisutch</t>
  </si>
  <si>
    <t>Body mass and body length (fork length) were averaged from the ranges provided.</t>
  </si>
  <si>
    <t xml:space="preserve">Data digitised from figure. Pumpkinseed sunfish data was excluded because animals were collected from the wild. </t>
  </si>
  <si>
    <t>Tab2</t>
  </si>
  <si>
    <t>Billman_et_al_2008</t>
  </si>
  <si>
    <t>Optimal temperatures for growth and upper thermal tolerance of juvenile northern leatherside chub</t>
  </si>
  <si>
    <t>Western North American Naturalist</t>
  </si>
  <si>
    <t>https://doi.org/10.3398/1527-0904-68.4.463</t>
  </si>
  <si>
    <t>Billman, Eric J., Eric J. Wagner, Ronney E. Arndt, and Erin VanDyke. "Optimal temperatures for growth and upper thermal tolerance of juvenile northern leatherside chub." Western North American Naturalist 68, no. 4 (2008): 463-474.</t>
  </si>
  <si>
    <t>Lepdomeda</t>
  </si>
  <si>
    <t>copei</t>
  </si>
  <si>
    <t>Lepdomeda copei</t>
  </si>
  <si>
    <t>Data from the "Deadman Creek" fish. Coordinates of origin not reported because location was very approximate ("2 wild sources within the Bear River drainage of Utah and Wyoming: Deadman Creek and Yellow Creek"). Mean oxygen and pH between acclimation treatments calculated from table 4. Mean variation between acclimationt treatments was used</t>
  </si>
  <si>
    <t>Data taken from table</t>
  </si>
  <si>
    <t>Data from the "Deadman Creek" fish. Coordinates of origin not reported because location was very approximate ("2 wild sources within the Bear River drainage of Utah and Wyoming: Deadman Creek and Yellow Creek").Mean oxygen and pH between acclimation treatments calculated from table 4. Mean variation between acclimationt treatments was used</t>
  </si>
  <si>
    <t>Data from the "Yellow Creek" fish. Coordinates of origin not reported because location was very approximate ("2 wild sources within the Bear River drainage of Utah and Wyoming: Deadman Creek and Yellow Creek"). Mean oxygen and pH between acclimation treatments calculated from table 4. Mean variation between acclimationt treatments was used</t>
  </si>
  <si>
    <t>Treatments re-used in stepwise comparisons. The population_ID was considered to be the same as one of the other two populations used in the study, although individuals from both populations were used.</t>
  </si>
  <si>
    <t>Tab3</t>
  </si>
  <si>
    <t>LT50</t>
  </si>
  <si>
    <t xml:space="preserve">Data from two populations pooled. </t>
  </si>
  <si>
    <t>Data was not presented for each population. Coordinates of origin not reported because location was very approximate ("2 wild sources within the Bear River drainage of Utah and Wyoming: Deadman Creek and Yellow Creek"). I took the mean body mass between both populations.  Mean oxygen and pH between acclimation treatments calculated from table 4. Mean variation between acclimationt treatments was used</t>
  </si>
  <si>
    <t>se</t>
  </si>
  <si>
    <t>LT50 was calculated using survival data provided in table 3. I fitted a logistic regression and use the dose.p() function from 'MASS' to calculate LT50. The standard error is provided instead of SD. Sample size was taken as the number of test temperatures * the number of replicates per test temperatures.</t>
  </si>
  <si>
    <t>Very high standard error because low sample size (4 test temperatures) in the 28C acclimated group.</t>
  </si>
  <si>
    <t>Data was not presented for each population. Coordinates of origin not reported because location was very approximate ("2 wild sources within the Bear River drainage of Utah and Wyoming: Deadman Creek and Yellow Creek"). I took the mean body mass between both populations. n_test_temp considered to be "4" because one treatment had n=5 and the other had n=4. Mean oxygen and pH between acclimation treatments calculated from table 4. Mean variation between acclimationt treatments was used</t>
  </si>
  <si>
    <t>LT50 was calculated using survival data provided in table 3. I fitted a logistic regression and use the dose.p() function from 'MASS' to calculate LT50. The standard error is provided instead of SD. Sample size was taken as the number of test temperatures * the number of replicates per test temperatures. Very high SE calculated from the model.</t>
  </si>
  <si>
    <t>Fig3</t>
  </si>
  <si>
    <t>006_Blair_Glover_2019_Fig3</t>
  </si>
  <si>
    <t>Blair_and_Glover_2019</t>
  </si>
  <si>
    <t>Acute exposure of larval rainbow trout (Oncorhynchus mykiss) to elevated temperature limits hsp70b expression and influences future thermotolerance</t>
  </si>
  <si>
    <t>Hydrobiologia</t>
  </si>
  <si>
    <t>https://doi.org/10.1007/s10750-019-3948-1</t>
  </si>
  <si>
    <t>Blair, Salvatore D., and Chris N. Glover. "Acute exposure of larval rainbow trout (Oncorhynchus mykiss) to elevated temperature limits hsp70b expression and influences future thermotolerance." Hydrobiologia 836, no. 1 (2019): 155-167.</t>
  </si>
  <si>
    <t>mykiss</t>
  </si>
  <si>
    <t>Oncorhynchus mykiss</t>
  </si>
  <si>
    <t>G</t>
  </si>
  <si>
    <t>Treatments were acclimated for different durations</t>
  </si>
  <si>
    <t xml:space="preserve">Coordinates not reported because the precise location of sampling was not reported (only report "Mount Lassen strain"). The duration of acclimation of the treatment group was taken as the "acc_duration" because this is essentially what varies between the groups compared. </t>
  </si>
  <si>
    <t>Treatments re-used in stepwise comparisons. "diploid" and "triploid" were considered separate populations</t>
  </si>
  <si>
    <t>Fig3A</t>
  </si>
  <si>
    <t>007_Bowden_et_al_2018_Fig3A</t>
  </si>
  <si>
    <t>Bowden_et_al_2018</t>
  </si>
  <si>
    <t>Negligible differences in metabolism and thermal tolerance between diploid and triploid Atlantic salmon (Salmo salar)</t>
  </si>
  <si>
    <t>10.1242/jeb.166975</t>
  </si>
  <si>
    <t>Bowden, Alyssa J., Sarah J. Andrewartha, Nick G. Elliott, Peter B. Frappell, and Timothy D. Clark. "Negligible differences in metabolism and thermal tolerance between diploid and triploid Atlantic salmon (Salmo salar)." Journal of Experimental Biology 221, no. 5 (2018).</t>
  </si>
  <si>
    <t>Salmo</t>
  </si>
  <si>
    <t>salar</t>
  </si>
  <si>
    <t>Salmo salar</t>
  </si>
  <si>
    <t>hatchery</t>
  </si>
  <si>
    <t xml:space="preserve">Diploid data. Coordinates not reported because only the location of the hatchery was provided. Body mass data at 9 weeks was digitised from figure 1. I didn't use the body length data provided because it was the body length before the 9 week acclimation. </t>
  </si>
  <si>
    <t>Data digitised from figure. Sample sizes taken as the ones described at 9 weeks in Fig1</t>
  </si>
  <si>
    <t>Data digitised from figure. Sample sizes taken as the ones described at 9 weeks in Fig2</t>
  </si>
  <si>
    <t xml:space="preserve">Triploid data.  Body mass data at 9 weeks was digitised from figure 1. I didn't use the body length data provided because it was the body length before the 9 week acclimation. </t>
  </si>
  <si>
    <t>Data digitised from figure. Sample sizes taken as the ones described at 9 weeks in Fig3</t>
  </si>
  <si>
    <t>Data digitised from figure. Sample sizes taken as the ones described at 9 weeks in Fig4</t>
  </si>
  <si>
    <t xml:space="preserve">Treatments re-used in stepwise comparisons. Families were considered the same between sexes, but not between temperature treatments and experimental designs. However, because treatments were re-used within and between experimental designs, we assigned the same family ID for all observations in this study. </t>
  </si>
  <si>
    <t>not-peer-reviewed</t>
  </si>
  <si>
    <t>Britton_2005</t>
  </si>
  <si>
    <t>The nature of thermal tolerance in the western mosquitofish, Gambusia affinis, exposed to heated effluents</t>
  </si>
  <si>
    <t>Thesis</t>
  </si>
  <si>
    <t>Britton, David Keith. The nature of thermal tolerance in the western mosquitofish, Gambusia affinis, exposed to heated effluents. The University of Texas at Arlington, 2005.</t>
  </si>
  <si>
    <t>Cyprinodontiformes</t>
  </si>
  <si>
    <t>Poecillidae</t>
  </si>
  <si>
    <t>Gambusia</t>
  </si>
  <si>
    <t>affinis</t>
  </si>
  <si>
    <t>Gambusia affinis</t>
  </si>
  <si>
    <t>viviparous</t>
  </si>
  <si>
    <t>embryo_and_juvenile</t>
  </si>
  <si>
    <t>adult</t>
  </si>
  <si>
    <t>E</t>
  </si>
  <si>
    <t>female</t>
  </si>
  <si>
    <t xml:space="preserve">Treatments were acclimated for different durations. </t>
  </si>
  <si>
    <t xml:space="preserve">Female born and raised at 20 and 26C.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</si>
  <si>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 xml:space="preserve">Data taken from the main text. Although the sample sizes were not provided, the model fitted indicated a df of 148. Therefore, we assumed the sample size to be 16 in each treatment (8 of each sex). </t>
  </si>
  <si>
    <t xml:space="preserve">Females born and raised at 26 and 32C.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</si>
  <si>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male</t>
  </si>
  <si>
    <t xml:space="preserve">Males born and raised at 20 and 26C.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</si>
  <si>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 xml:space="preserve">Males born and raised at 26 and 32C.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</si>
  <si>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 xml:space="preserve">Females born at 20 or 26C,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</si>
  <si>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26 or 32C,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</si>
  <si>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20 or 26C,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</si>
  <si>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26 or 32C,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</si>
  <si>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20 or 26C,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</si>
  <si>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26 or 32C,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</si>
  <si>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20 or 26C,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</si>
  <si>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26 or 32C,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</si>
  <si>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20 or 26C,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</si>
  <si>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26 or 32C,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</si>
  <si>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20 or 26C,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</si>
  <si>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26 or 32C,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</si>
  <si>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Treatments re-used in stepwise comparisons. Two populations ("Winnipeg" and "Burnwood") were used in this study.</t>
  </si>
  <si>
    <t>Fig5</t>
  </si>
  <si>
    <t>009_Bugg_et_al_2020_Fig5</t>
  </si>
  <si>
    <t>Bugg_et_al_2020</t>
  </si>
  <si>
    <t>Effects of acclimation temperature on the thermal physiology in two geographically distinct populations of lake sturgeon (Acipenser fulvescens)</t>
  </si>
  <si>
    <t>Conservation Physiology</t>
  </si>
  <si>
    <t>10.1093/conphys/coaa087</t>
  </si>
  <si>
    <t>Bugg, William S., Gwangseok R. Yoon, Alexandra N. Schoen, Andrew Laluk, Catherine Brandt, W. Gary Anderson, and Ken M. Jeffries. "Effects of acclimation temperature on the thermal physiology in two geographically distinct populations of lake sturgeon (Acipenser fulvescens)." Conservation Physiology 8, no. 1 (2020): coaa087.</t>
  </si>
  <si>
    <t>Acipenseriformes</t>
  </si>
  <si>
    <t>Acipenseridae</t>
  </si>
  <si>
    <t>Acipenser</t>
  </si>
  <si>
    <t>fulvescens</t>
  </si>
  <si>
    <t>Acipenser fulvescens</t>
  </si>
  <si>
    <t>lab and hatchery</t>
  </si>
  <si>
    <t xml:space="preserve">Data from the "Winnipeg" population. Elevation was estimated using Google Earth. "season" was taken as "spring" because animals were collected in May and June. Mean body mass between acclimation treatments (table 2) was calculated. Age was the age at the beginning of the acclimation (30 dph) + 30 days of acclimation. Animals acclimated to 16C were acclimated for longer than animals acclimated to 20C. The acc_duration was taken as 30 days (the acc_duration of the 20C acclimated treatment). </t>
  </si>
  <si>
    <t>Data digitised from figure. Sample size was the number of data points in the figure</t>
  </si>
  <si>
    <t>Data from the "Winnipeg" population. Elevation was estimated using Google Earth. "season" was taken as "spring" because animals were collected in May and June. Mean body mass between acclimation treatments (table 2) was calculated. Age was the age at the beginning of the acclimation (30 dph) + 30 days of acclimation.</t>
  </si>
  <si>
    <t xml:space="preserve">Data from the "Burnwood" population. Animals acclimated to 16C were acclimated for longer than animals acclimated to 20C. The acc_duration was taken as 30 days (the acc_duration of the 20C acclimated treatment). </t>
  </si>
  <si>
    <t>Data from the "Burnwood" population. Elevation was estimated using Google Earth. "season" was taken as "spring" because animals were collected in May and June. Mean body mass between acclimation treatments (table 2) was calculated. Age was the age at the beginning of the acclimation (30 dph) + 30 days of acclimation.</t>
  </si>
  <si>
    <t>Treatments re-used in stepwise comparisons. Three populations ("southeastern Spain" and "northwestern Spain" and "France") were used in this study.</t>
  </si>
  <si>
    <t>Fig4</t>
  </si>
  <si>
    <t>010_Carbonell_and_Stoks_Fig4</t>
  </si>
  <si>
    <t>Carbonell_and_Stoks_2020</t>
  </si>
  <si>
    <t>Thermal evolution of life history and heat tolerance during range expansions toward warmer and cooler regions</t>
  </si>
  <si>
    <t>Ecology</t>
  </si>
  <si>
    <t>https://doi.org/10.1002/ecy.3134</t>
  </si>
  <si>
    <t>Carbonell, José Antonio, and Robby Stoks. "Thermal evolution of life history and heat tolerance during range expansions toward warmer and cooler regions." Ecology 101, no. 10 (2020): e03134.</t>
  </si>
  <si>
    <t>Odonata</t>
  </si>
  <si>
    <t>Coenagrionidae</t>
  </si>
  <si>
    <t>Ischnura</t>
  </si>
  <si>
    <t>elegans</t>
  </si>
  <si>
    <t>Ischnura elegans</t>
  </si>
  <si>
    <t>aquatic invertebrate</t>
  </si>
  <si>
    <t>summer</t>
  </si>
  <si>
    <t xml:space="preserve">Data from the "France" population. Coordinates were averaged across the different sites presented in TabS1, for each population. Considered "aquatic" because they manipulated the water temperature. Season was taken as "summer" because sampling was done in June and July. CTmax endpoint was when "amimals stop movements". </t>
  </si>
  <si>
    <t>Data digitised from figure.</t>
  </si>
  <si>
    <t xml:space="preserve">Data from the "Northwestern Spain" population. Coordinates were averaged across the different sites presented in TabS1, for each population. Considered "aquatic" because they manipulated the water temperature. Season was taken as "summer" because sampling was done in August. CTmax endpoint was when "amimals stop movements". </t>
  </si>
  <si>
    <t xml:space="preserve">Data from the "Southeastern Spain" population. Coordinates were averaged across the different sites presented in TabS1, for each population. Considered "aquatic" because they manipulated the water temperature. Season was taken as "summer" because sampling was done in June and July. CTmax endpoint was when "amimals stop movements". </t>
  </si>
  <si>
    <t xml:space="preserve">Treatments re-used in stepwise comparisons. </t>
  </si>
  <si>
    <t>011_Chidawanyika_Terblanche_Fig1A</t>
  </si>
  <si>
    <t>Chidawanyika_and_Terblanche_2010</t>
  </si>
  <si>
    <t>Costs and benefits of thermal acclimation for codling moth, Cydia pomonella (Lepidoptera: Tortricidae): implications for pest control and the sterile insect release programme</t>
  </si>
  <si>
    <t>Evolutionary Applications</t>
  </si>
  <si>
    <t>10.1111/j.1752-4571.2010.00168.x</t>
  </si>
  <si>
    <t>Chidawanyika, Frank, and John S. Terblanche. "Costs and benefits of thermal acclimation for codling moth, Cydia pomonella (Lepidoptera: Tortricidae): implications for pest control and the sterile insect release programme." Evolutionary Applications 4, no. 4 (2011): 534-544.</t>
  </si>
  <si>
    <t>Lepidoptera</t>
  </si>
  <si>
    <t>Tortricidae</t>
  </si>
  <si>
    <t>Cydia</t>
  </si>
  <si>
    <t>pomonella</t>
  </si>
  <si>
    <t>Cydia pomonella</t>
  </si>
  <si>
    <t>Treatments were acclimated for different durations. SD possibly underestimated.</t>
  </si>
  <si>
    <t xml:space="preserve">The year taken was the year at which the colony culture was first established. Animals that developed at 25C were acclimated for slightly longer (24-48h more) than animals acclimated at the other temperature because all animals were brought to 25C upon eclosion. The time at common temperature and age were taken as 1.5 days because animals were tested at 24-48h post eclosion. CTmax endpoint was "loss of coordinated motor function", which is similar to the loss of righting response. </t>
  </si>
  <si>
    <t>Data digitisted from figure. It was not indicated whether the error provided in the figure was the SD, SE or CI. We assumed it was SD as it is the most likely error type given the significance level (if it was SE, confidence intervals would most likely overlap)</t>
  </si>
  <si>
    <t>Two populations ("high latitude" and "low latitude") were used in this study.</t>
  </si>
  <si>
    <t>Fig2</t>
  </si>
  <si>
    <t>012_Dang_2019_Fig2</t>
  </si>
  <si>
    <t>Dang_et_al_2019</t>
  </si>
  <si>
    <t>Thermal physiological performance of two freshwater turtles acclimated to different temperatures</t>
  </si>
  <si>
    <t>Journal of Comparative Physiology B</t>
  </si>
  <si>
    <t>https://doi.org/10.1007/s00360-018-1194-x</t>
  </si>
  <si>
    <t>Dang, Wei, Ying-Chao Hu, Jun Geng, Jie Wang, and Hong-Liang Lu. "Thermal physiological performance of two freshwater turtles acclimated to different temperatures." Journal of Comparative Physiology B 189, no. 1 (2019): 121-130.</t>
  </si>
  <si>
    <t>Testudines</t>
  </si>
  <si>
    <t>Geoemydidae</t>
  </si>
  <si>
    <t>Mauremys</t>
  </si>
  <si>
    <t>reevesii</t>
  </si>
  <si>
    <t>Mauremys reevesii</t>
  </si>
  <si>
    <t>Data for the "low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t>
  </si>
  <si>
    <t xml:space="preserve">Data for the "high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 </t>
  </si>
  <si>
    <t>Emydidae</t>
  </si>
  <si>
    <t>Trachemys</t>
  </si>
  <si>
    <t>scripta</t>
  </si>
  <si>
    <t>Trachemys scripta</t>
  </si>
  <si>
    <t xml:space="preserve">Data for the "low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 </t>
  </si>
  <si>
    <t xml:space="preserve">Data for the "high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 </t>
  </si>
  <si>
    <t xml:space="preserve">Population_ID taken as the same as es_ID 3-5 because animals were collected in the same site. </t>
  </si>
  <si>
    <t>http://dx.doi.org/10.5061/dryad.dp1fh</t>
  </si>
  <si>
    <t>Dayanada_et_al_2017</t>
  </si>
  <si>
    <t>Hotter nests produce hatchling lizards with lower thermal tolerance</t>
  </si>
  <si>
    <t>10.1242/jeb.152272</t>
  </si>
  <si>
    <t>Dayananda, Buddhi, Brad R. Murray, and Jonathan K. Webb. "Hotter nests produce hatchling lizards with lower thermal tolerance." Journal of Experimental Biology 220, no. 12 (2017): 2159-2165.</t>
  </si>
  <si>
    <t>Dharawal population. Population was considered the same as in es_ID 3-5. Season was taken to be "spring" (October in Australia). Time at common temperature and age were taken as the average of the range presented (7-10 days)</t>
  </si>
  <si>
    <t>Data calculated from the raw data</t>
  </si>
  <si>
    <t>Morton population. Coordinates were approximated using Google Earth. Season was taken to be "spring" (October in Australia). Time at common temperature and age were taken as the average of the range presented (7-10 days)</t>
  </si>
  <si>
    <t>Two populations ("high-latitude" and "low-latitude") were used in this study.</t>
  </si>
  <si>
    <t>013_de-Beek_2017_Fig1</t>
  </si>
  <si>
    <t>de-Beek_et_al_2017</t>
  </si>
  <si>
    <t>Integrating both interaction pathways between warming and pesticide exposure on upper thermal tolerance in high- and low- latitude populations of an aquatic insect</t>
  </si>
  <si>
    <t>Environmental Pollution</t>
  </si>
  <si>
    <t>http://dx.doi.org/10.1016/j.envpol.2016.11.014</t>
  </si>
  <si>
    <t>de Beeck, Lin Op, Julie Verheyen, and Robby Stoks. "Integrating both interaction pathways between warming and pesticide exposure on upper thermal tolerance in high-and low-latitude populations of an aquatic insect." Environmental Pollution 224 (2017): 714-721.</t>
  </si>
  <si>
    <t xml:space="preserve">Data for the "high-latitude" population.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</si>
  <si>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Data digitised from figure. Sample size was taken as 20 because authors indicate that "the number of replicates per treatment combination varied between 19 and 21". Data for the CPF treatments was not extracted.</t>
  </si>
  <si>
    <t xml:space="preserve">Data for the "low-latitude" population.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</si>
  <si>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014_de-Beek_2018a_Fig2</t>
  </si>
  <si>
    <t>de-Beek_et_al_2018a</t>
  </si>
  <si>
    <t>Strong differences between two congeneric species in sensitivity to pesticides in a warming world</t>
  </si>
  <si>
    <t>Science of the Total Environment</t>
  </si>
  <si>
    <t>https://doi.org/10.1016/j.scitotenv.2017.10.311</t>
  </si>
  <si>
    <t>de Beeck, Lin Op, Julie Verheyen, and Robby Stoks. "Strong differences between two congeneric species in sensitivity to pesticides in a warming world." Science of The Total Environment 618 (2018): 60-69.</t>
  </si>
  <si>
    <t xml:space="preserve">Was considered "aquatic" because they manipulated the water temperature and the larval stage is aquatic. The mean coordinates from the three study sites was taken. Elevation was estimated from Google Earth. Season was taken as "summer" because animals were collected in "end June - early July" in the Northern Hemisphere. Endpoint was when animals "no longer show any body movement or muscular spasms" </t>
  </si>
  <si>
    <t>Data digitised from figure. The data for I. elegans was not included because it was the same data as in de-Beek_et_al_2017. Data for the CPF treatments was not extracted.</t>
  </si>
  <si>
    <t>Two populations ("high-latitude" and "low-latitude") were used in this study. The populations and families used were taken as the same as de-Beek_et_al_2017 as animals were sampled at the same locations, and at the same dates.</t>
  </si>
  <si>
    <t>015_de-Beek_2018b_Fig4</t>
  </si>
  <si>
    <t>de-Beek_et_al_2018b</t>
  </si>
  <si>
    <t>Competition magnifies the impact of a pesticide in a warming world by reducing heat tolerance and increasing autotomy</t>
  </si>
  <si>
    <t>https://doi.org/10.1016/j.envpol.2017.10.071</t>
  </si>
  <si>
    <t>de Beeck, Lin Op, Julie Verheyen, and Robby Stoks. "Competition magnifies the impact of a pesticide in a warming world by reducing heat tolerance and increasing autotomy." Environmental Pollution 233 (2018): 226-234.</t>
  </si>
  <si>
    <t xml:space="preserve">Data for the "high-latitude" population at low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</si>
  <si>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Data digitised from figure. Data for the CPF treatments was not extracted.</t>
  </si>
  <si>
    <t xml:space="preserve">Data for the "high-latitude" population at high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</si>
  <si>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 xml:space="preserve">Data for the "low-latitude" population at low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</si>
  <si>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 xml:space="preserve">Data for the "low-latitude" population at high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</si>
  <si>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016_Del-Rio_2019_Fig2</t>
  </si>
  <si>
    <t>Del-Rio_et_al_2019</t>
  </si>
  <si>
    <t>Combined effects of warming and hypoxia on early life stage Chinook salmon physiology and development</t>
  </si>
  <si>
    <t>10.1093/conphys/coy078</t>
  </si>
  <si>
    <t>Del Rio, Annelise M., Brittany E. Davis, Nann A. Fangue, and Anne E. Todgham. "Combined effects of warming and hypoxia on early life stage Chinook salmon physiology and development." Conservation physiology 7, no. 1 (2019): coy078.</t>
  </si>
  <si>
    <t>tshawytscha</t>
  </si>
  <si>
    <t>Oncorhynchus tshawytscha</t>
  </si>
  <si>
    <t>B</t>
  </si>
  <si>
    <t xml:space="preserve">Data for the embryos at the eyed stage, acclimated under normoxia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</si>
  <si>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embryos at the eyed stage, acclimated under hypoxia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</si>
  <si>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embryos at the silver eyed stage, acclimated under normoxia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</si>
  <si>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embryos at the silver eyed stage, acclimated under hypoxia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</si>
  <si>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alevins acclimated under normoxia conditions. The mean temperature variability between temperature treatments was taken. The mean oxygen concentration between treatments was taken. Acc_duration was taken as the mean between treatments, as presented in Tab. 2. </t>
  </si>
  <si>
    <t xml:space="preserve">Data for the alevins acclimated under hypoxia conditions. The mean temperature variability between temperature treatments was taken. The mean oxygen concentration between treatments was taken. Acc_duration was taken as the mean between treatments, as presented in Tab. 2. </t>
  </si>
  <si>
    <t xml:space="preserve">Data for the fry acclimated under normoxia conditions. The mean temperature variability between temperature treatments was taken. The mean oxygen concentration between treatments was taken. Acc_duration and age were taken as the mean between treatments, as presented in Tab. 2. </t>
  </si>
  <si>
    <t xml:space="preserve">Data for the fry acclimated under hypoxia conditions. The mean temperature variability between temperature treatments was taken. The mean oxygen concentration between treatments was taken.  Acc_duration and age were taken as the mean between treatments, as presented in Tab. 2. </t>
  </si>
  <si>
    <t>Treatments re-used in stepwise comparisons.</t>
  </si>
  <si>
    <t>Fig2B</t>
  </si>
  <si>
    <t>017_Deslauriers_2016_Fig2B</t>
  </si>
  <si>
    <t>Deslauriers_et_al_2016</t>
  </si>
  <si>
    <t>Lethal Thermal Maxima for Age‐0 Pallid and Shovelnose Sturgeon: Implications for Shallow Water Habitat Restoration</t>
  </si>
  <si>
    <t>River Research and Applications</t>
  </si>
  <si>
    <t>10.1002/rra.3022</t>
  </si>
  <si>
    <t>Deslauriers, David, L. Heironimus, and Steven R. Chipps. "Lethal Thermal Maxima for Age‐0 Pallid and Shovelnose Sturgeon: Implications for Shallow Water Habitat Restoration." River Research and Applications 32, no. 9 (2016): 1872-1878.</t>
  </si>
  <si>
    <t>Scaphirhynchus</t>
  </si>
  <si>
    <t>albus</t>
  </si>
  <si>
    <t>Scaphirhynchus albus</t>
  </si>
  <si>
    <t>Body mass calculated from the figure 2. Body length was taken as the mean between of the range presented in the main text.</t>
  </si>
  <si>
    <t>Fig2A</t>
  </si>
  <si>
    <t>018_Deslauriers_2016_Fig2A</t>
  </si>
  <si>
    <t>platorynchus</t>
  </si>
  <si>
    <t>Scaphirhynchus platorynchus</t>
  </si>
  <si>
    <t>019_Donelson_2015_Fig2A</t>
  </si>
  <si>
    <t>Donelson_et_al_2015</t>
  </si>
  <si>
    <t>Development in a warm future ocean may enhance performance in some species</t>
  </si>
  <si>
    <t>Journal of Experimental Marine Biology and Ecology</t>
  </si>
  <si>
    <t>http://dx.doi.org/10.1016/j.jembe.2015.07.008</t>
  </si>
  <si>
    <t>Donelson, Jennifer M. "Development in a warm future ocean may enhance performance in some species." Journal of Experimental Marine Biology and Ecology 472 (2015): 119-125.</t>
  </si>
  <si>
    <t>Perciformes</t>
  </si>
  <si>
    <t>Pomacentridae</t>
  </si>
  <si>
    <t>Premnas</t>
  </si>
  <si>
    <t>biaculeatus</t>
  </si>
  <si>
    <t>Premnas biaculeatus</t>
  </si>
  <si>
    <t>winter</t>
  </si>
  <si>
    <t xml:space="preserve">Animals were relatively old. </t>
  </si>
  <si>
    <t xml:space="preserve">Age was estimated as the age at which animals were brought to the acclimation treatment (14 dph) + the acc_duration (1 year + 2 months after the metabolic attributes tests). Body length and body mass data were digitised from figure 1. </t>
  </si>
  <si>
    <t xml:space="preserve">Same cohort ID because it seems like the survival of the same animals was measured at different time points. Two populations ("River Leven" and "River Lune") were used in this study. Treatments were re-used in stepwise comparisons. </t>
  </si>
  <si>
    <t>003_Elliott_1991_Fig1-10min</t>
  </si>
  <si>
    <t>Elliott_1991</t>
  </si>
  <si>
    <t>Tolerance and resistance to thermal stress in juvenile Atlantic salmon, Salmo salar</t>
  </si>
  <si>
    <t>Freshwater Biology</t>
  </si>
  <si>
    <t>https://doi.org/10.1111/j.1365-2427.1991.tb00473.x</t>
  </si>
  <si>
    <t>Elliott, J. M. "Tolerance and resistance to thermal stress in juvenile Atlantic salmon, Salmo salar." Freshwater Biology 25, no. 1 (1991): 61-70.</t>
  </si>
  <si>
    <t>fed</t>
  </si>
  <si>
    <t xml:space="preserve">Data for the 10-min survival of 0+ parr from River Leven. The temperature letal for a 10-min period can be considered analogous to the CTmax method. The geographical coordinates were not taken because too approximate ("River Leven in South Cumbria"). A ramping rate was assigned because the survival was assessed 10 minute after reaching the desired temperature. </t>
  </si>
  <si>
    <t xml:space="preserve">Data digitised from figure. </t>
  </si>
  <si>
    <t>SD missing</t>
  </si>
  <si>
    <t xml:space="preserve">Data for the 10-min survival of 1+ parr from River Leven. The temperature letal for a 10-min period can be considered analogous to the CTmax method. The geographical coordinates were not taken because too approximate ("River Leven in South Cumbria"). A ramping rate was assigned because the survival was assessed 10 minute after reaching the desired temperature. </t>
  </si>
  <si>
    <t>NA</t>
  </si>
  <si>
    <t xml:space="preserve">Data digitised from figure. Standard deviation missing for animals acclimated to 5C. </t>
  </si>
  <si>
    <t xml:space="preserve">Data for the 10-min survival of slow-growing 1+ parr from River Lune. The temperature letal for a 10-min period can be considered analogous to the CTmax method. The geographical coordinates were not taken because too approximate ("River Lune in North Lancashire"). A ramping rate was assigned because the survival was assessed 10 minute after reaching the desired temperature. </t>
  </si>
  <si>
    <t>Data for the 10-min survival of slow-growing 1+ parr from River Lune. The temperature letal for a 10-min period can be considered analogous to the CTmax method. The geographical coordinates were not taken because too approximate ("River Lune in North Lancashire")</t>
  </si>
  <si>
    <t xml:space="preserve">Data for the 10-min survival of fast-growing 1+ parr from River Lune. The temperature letal for a 10-min period can be considered analogous to the CTmax method. The geographical coordinates were not taken because too approximate ("River Lune in North Lancashire"). A ramping rate was assigned because the survival was assessed 10 minute after reaching the desired temperature. </t>
  </si>
  <si>
    <t>Data digitised from figure. Standard deviation missing for animals acclimated to 15C.</t>
  </si>
  <si>
    <t>003_Elliott_1991_Fig1-100min</t>
  </si>
  <si>
    <t>Elliott's hybrid methodology</t>
  </si>
  <si>
    <t xml:space="preserve">Data for the 100-min survival of 0+ parr from River Leven. The geographical coordinates were not taken because too approximate ("River Leven in South Cumbria"). No ramping rates were assigned because the temperature remained constant for 100 min. This measure was considered analogous to LT50 estimations. n_replicates_per_temp and n_animals_per_replicates unclear, so it may affect the sample sizes. </t>
  </si>
  <si>
    <t xml:space="preserve">Elliott's hybrid methodology. SD missing for animals acclimated to 5C. </t>
  </si>
  <si>
    <t xml:space="preserve">Data for the 100-min survival of 1+ parr from River Leven. The geographical coordinates were not taken because too approximate ("River Leven in South Cumbria"). No ramping rates were assigned because the temperature remained constant for 100 min. This measure was considered analogous to LT50 estimations. n_replicates_per_temp and n_animals_per_replicates unclear, so it may affect the sample sizes. </t>
  </si>
  <si>
    <t xml:space="preserve">Data for the 100-min survival of slow-growing 1+ parr from River Lune. The geographical coordinates were not taken because too approximate ("River Lune in North Lancashire"). No ramping rates were assigned because the temperature remained constant for 100 min. This measure was considered analogous to LT50 estimations. n_replicates_per_temp and n_animals_per_replicates unclear, so it may affect the sample sizes. </t>
  </si>
  <si>
    <t xml:space="preserve">Elliott's hybrid methodology. SD missing for animals acclimated to 15C. </t>
  </si>
  <si>
    <t>Elliott's hybrid methodology. SD missing for animals acclimated to 15C</t>
  </si>
  <si>
    <t>Elliott's hybrid methodology.  SD missing for animals acclimated to 25C</t>
  </si>
  <si>
    <t>Data digitised from figure. Standard deviation missing for animals acclimated to 25C.</t>
  </si>
  <si>
    <t xml:space="preserve">Data for the 100-min survival of fast-growing 1+ parr from River Lune. The geographical coordinates were not taken because too approximate ("River Lune in North Lancashire"). No ramping rates were assigned because the temperature remained constant for 100 min. This measure was considered analogous to LT50 estimations. n_replicates_per_temp and n_animals_per_replicates unclear, so it may affect the sample sizes. </t>
  </si>
  <si>
    <t>003_Elliott_1991_Fig1-1000min</t>
  </si>
  <si>
    <t xml:space="preserve">Data for the 1000-min survival of 0+ parr from River Leven. The geographical coordinates were not taken because too approximate ("River Leven in South Cumbria"). No ramping rates were assigned because the temperature remained constant for 1000 min. This measure was considered analogous to LT50 estimations. n_replicates_per_temp and n_animals_per_replicates unclear, so it may affect the sample sizes. </t>
  </si>
  <si>
    <t xml:space="preserve">Data for the 1000-min survival of 1+ parr from River Leven. The geographical coordinates were not taken because too approximate ("River Leven in South Cumbria"). No ramping rates were assigned because the temperature remained constant for 1000 min. This measure was considered analogous to LT50 estimations. n_replicates_per_temp and n_animals_per_replicates unclear, so it may affect the sample sizes. </t>
  </si>
  <si>
    <t xml:space="preserve">Data for the 1000-min survival of slow-growing 1+ parr from River Lune. The geographical coordinates were not taken because too approximate ("River Lune in North Lancashire"). No ramping rates were assigned because the temperature remained constant for 1000 min. This measure was considered analogous to LT50 estimations. n_replicates_per_temp and n_animals_per_replicates unclear, so it may affect the sample sizes. </t>
  </si>
  <si>
    <t xml:space="preserve">Elliott's hybrid methodology. SD missing for animals acclimated to 27C. </t>
  </si>
  <si>
    <t>Data digitised from figure. Standard deviation missing for animals acclimated to 27C.</t>
  </si>
  <si>
    <t xml:space="preserve">Data for the 1000-min survival of fast-growing 1+ parr from River Lune. The geographical coordinates were not taken because too approximate ("River Lune in North Lancashire"). No ramping rates were assigned because the temperature remained constant for 1000 min. This measure was considered analogous to LT50 estimations. n_replicates_per_temp and n_animals_per_replicates unclear, so it may affect the sample sizes. </t>
  </si>
  <si>
    <t>003_Elliott_1991_Fig1-7days</t>
  </si>
  <si>
    <t xml:space="preserve">Data for the 7-day survival of 0+ parr from River Leven. The geographical coordinates were not taken because too approximate ("River Leven in South Cumbria"). No ramping rates were assigned because the temperature remained constant for 7 days. This measure was considered analogous to LT50 estimations. n_replicates_per_temp and n_animals_per_replicates unclear, so it may affect the sample sizes. </t>
  </si>
  <si>
    <t xml:space="preserve">Data for the 7-day survival of 1+ parr from River Leven. The geographical coordinates were not taken because too approximate ("River Leven in South Cumbria"). No ramping rates were assigned because the temperature remained constant for 7 days. This measure was considered analogous to LT50 estimations. n_replicates_per_temp and n_animals_per_replicates unclear, so it may affect the sample sizes. </t>
  </si>
  <si>
    <t>Elliott's hybrid methodology. SD missing for animals acclimated to 10.</t>
  </si>
  <si>
    <t xml:space="preserve">Data for the 7-day survival of slow-growing 1+ parr from River Lune. The geographical coordinates were not taken because too approximate ("River Lune in North Lancashire"). No ramping rates were assigned because the temperature remained constant for 7 days. This measure was considered analogous to LT50 estimations. n_replicates_per_temp and n_animals_per_replicates unclear, so it may affect the sample sizes. </t>
  </si>
  <si>
    <t xml:space="preserve">Data digitised from figure. Standard deviation missing for animals acclimated to 10C. </t>
  </si>
  <si>
    <t>Elliott's hybrid methodology. SD missing for animals acclimated to 10C and 15C.</t>
  </si>
  <si>
    <t xml:space="preserve">Data digitised from figure. Standard deviation missing for animals acclimated to 10C and 15C. </t>
  </si>
  <si>
    <t>Elliott's hybrid methodology. SD missing for animals acclimated to 15C.</t>
  </si>
  <si>
    <t>Elliott's hybrid methodology. SD missing for animals acclimated to 25C.</t>
  </si>
  <si>
    <t xml:space="preserve">Data for the 7-day survival of fast-growing 1+ parr from River Lune. The geographical coordinates were not taken because too approximate ("River Lune in North Lancashire"). No ramping rates were assigned because the temperature remained constant for 7 days. This measure was considered analogous to LT50 estimations. n_replicates_per_temp and n_animals_per_replicates unclear, so it may affect the sample sizes. </t>
  </si>
  <si>
    <t xml:space="preserve">Data digitised from figure. Standard deviation missing for animals acclimated to 27C. </t>
  </si>
  <si>
    <t xml:space="preserve">Treatments were re-used in stepwise comparisons. </t>
  </si>
  <si>
    <t>020_Elliott_Klemetsen_2002_Fig1</t>
  </si>
  <si>
    <t>Elliott_and_Klemetsen_2002</t>
  </si>
  <si>
    <t>The upper critical thermal limits for alevins of Arctic charr from a Norwegian lake north of the Arctic circle</t>
  </si>
  <si>
    <t>Journal of Fish Biology</t>
  </si>
  <si>
    <t>Elliott, J. M., and A. Klemetsen. "The upper critical thermal limits for alevins of Arctic charr from a Norwegian lake north of the Arctic circle." Journal of Fish Biology 60, no. 5 (2002): 1338-1341.</t>
  </si>
  <si>
    <t>Salvelinus</t>
  </si>
  <si>
    <t>alpinus</t>
  </si>
  <si>
    <t>Salvelinus alpinus</t>
  </si>
  <si>
    <t>Season was taken to be "fall" because animals were collected in September. Elevation was inferred from Google Earth. Body length (forklength) was taken as the mean of the range presented (13-15mm).Acc_duration was taken as the mean of the range presented (3-4 days). The authors used the temperature letal for a 10-min period, which is analogous to the CTmax method.</t>
  </si>
  <si>
    <t>Elliot's hybrid methodology. Sample size unclear.</t>
  </si>
  <si>
    <t xml:space="preserve">Season was taken to be "fall" because animals were collected in September. Elevation was inferred from Google Earth. Body length (forklength) was taken as the mean of the range presented (13-15mm).Acc_duration was taken as the mean of the range presented (3-4 days). Elliott's hybrid methodology was considered analogous to LT50 estimations. n_test_temp, n_replicates_per_temp, and n_animals_per_replicate not communicated. </t>
  </si>
  <si>
    <t>021_Floyd_1983_Fig1</t>
  </si>
  <si>
    <t>Floyd_1983</t>
  </si>
  <si>
    <t>Ontogenetic change in the temperature tolerance of larval Bufo marinus (Anura: Bufonidae)</t>
  </si>
  <si>
    <t>Comparative Biochemistry and Physiology Part A</t>
  </si>
  <si>
    <t>https://doi.org/10.1016/0300-9629(83)90081-6</t>
  </si>
  <si>
    <t>Floyd, Robert B. "Ontogenetic change in the temperature tolerance of larval Bufo marinus (Anura: Bufonidae)." Comparative Biochemistry and Physiology Part A: Physiology 75, no. 2 (1983): 267-271.</t>
  </si>
  <si>
    <t>Amphibia</t>
  </si>
  <si>
    <t>Anura</t>
  </si>
  <si>
    <t>Bufonidae</t>
  </si>
  <si>
    <t>Rhinella</t>
  </si>
  <si>
    <t>marina</t>
  </si>
  <si>
    <t>Rhinella marina</t>
  </si>
  <si>
    <t>amphibian</t>
  </si>
  <si>
    <t>Treatments were acclimated for different durations.</t>
  </si>
  <si>
    <t>Data for animals at the Gosner stage 20.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</si>
  <si>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 xml:space="preserve">Data digitised from figure. The variability presented in the figure was 2*SE so we divided by two the SD obtained from metaDigitise. </t>
  </si>
  <si>
    <t>Data for animals at the Gosner stage 26.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</si>
  <si>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28.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</si>
  <si>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31.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</si>
  <si>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34.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</si>
  <si>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37.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</si>
  <si>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40.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</si>
  <si>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42.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</si>
  <si>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43.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</si>
  <si>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44.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</si>
  <si>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https://royalsocietypublishing.org/doi/suppl/10.1098/rsbl.2015.0689</t>
  </si>
  <si>
    <t>Gibson_et_al_2015.csv</t>
  </si>
  <si>
    <t>Gibson_et_al_2015</t>
  </si>
  <si>
    <t>Out of the frying pan into the air—emersion behaviour and evaporative heat loss in an amphibious mangrove fish (Kryptolebias marmoratus)</t>
  </si>
  <si>
    <t>Biology Letters</t>
  </si>
  <si>
    <t>http://dx.doi.org/10.1098/rsbl.2015.0689</t>
  </si>
  <si>
    <t>Gibson, Daniel J., Emma VA Sylvester, Andy J. Turko, Glenn J. Tattersall, and Patricia A. Wright. "Out of the frying pan into the air—emersion behaviour and evaporative heat loss in an amphibious mangrove fish (Kryptolebias marmoratus)." Biology letters 11, no. 10 (2015): 20150689.</t>
  </si>
  <si>
    <t>Rivulidae</t>
  </si>
  <si>
    <t>Kryptolebias</t>
  </si>
  <si>
    <t>marmoratus</t>
  </si>
  <si>
    <t>Kryptolebias marmoratus</t>
  </si>
  <si>
    <t>hermaphrodite</t>
  </si>
  <si>
    <t>Body mass was calculated from the raw data as the mean between the two treatments compared. The incubation_temp_independent was taken as "no" because animals in one experimental group were acclimated for longer (i.e., animals were acclimated at 25 or 30C, and then re-acclimated to 25C). The endpoint was the "emersion threshold temperature"</t>
  </si>
  <si>
    <t>Body mass was calculated from the raw data as the mean between the two treatments compared. The incubation_temp_independent was taken as "no" because animals in one experimental group were acclimated for longer (i.e., animals were acclimated at 25 or 30C, and then re-acclimated to 30C). The endpoint was the "emersion threshold temperature"</t>
  </si>
  <si>
    <t xml:space="preserve">Body mass was calculated from the raw data as the mean between the two treatments compared. The incubation_temp_independent was taken as "no" because animals in one experimental group were acclimated for longer (i.e., animals were acclimated at 25 or 30C, and then re-acclimated to 25C). </t>
  </si>
  <si>
    <t xml:space="preserve">Body mass was calculated from the raw data as the mean between the two treatments compared. The incubation_temp_independent was taken as "no" because animals in one experimental group were acclimated for longer (i.e., animals were acclimated at 25 or 30C, and then re-acclimated to 30C). </t>
  </si>
  <si>
    <t>023_Gomez-Isaza_2020_Fig5</t>
  </si>
  <si>
    <t>Gomez-Isaza_et_al_2020</t>
  </si>
  <si>
    <t>Thermal acclimation offsets the negative effects of nitrate on aerobic scope and performance</t>
  </si>
  <si>
    <t>10.1242/jeb.224444</t>
  </si>
  <si>
    <t>Isaza, D. F. G., Cramp, R. L., &amp; Franklin, C. E. (2020). Thermal acclimation offsets the negative effects of nitrate on aerobic scope and performance. Journal of Experimental Biology, 223(16).</t>
  </si>
  <si>
    <t>Terapontidae</t>
  </si>
  <si>
    <t>Bidyanus</t>
  </si>
  <si>
    <t>bidyanus</t>
  </si>
  <si>
    <t>Bidyanus bidyanus</t>
  </si>
  <si>
    <t>Body mass was taken as the mean between the two acclimation groups (see Tab 1). Acclimation duration was taken as the mean of the range presented (13-14 weeks). Acc_temp_var was taken as the mean between the two acclimation groups (see Tab S1).</t>
  </si>
  <si>
    <t xml:space="preserve">Data digitised from figure. The data for animals supplemented with nitrate were not included. </t>
  </si>
  <si>
    <t>https://royalsocietypublishing.org/doi/suppl/10.1098/rsbl.2019.0716</t>
  </si>
  <si>
    <t>Gunderson_et_al_2020.csv</t>
  </si>
  <si>
    <t>Gunderson_et_al_2020</t>
  </si>
  <si>
    <t>Egg incubation temperature does not influence adult heat tolerance in the lizard Anolis sagrei</t>
  </si>
  <si>
    <t>http://dx.doi.org/10.1098/rsbl.2019.0716</t>
  </si>
  <si>
    <t>Gunderson, Alex R., Amélie Fargevieille, and Daniel A. Warner. "Egg incubation temperature does not influence adult heat tolerance in the lizard Anolis sagrei." Biology letters 16, no. 1 (2020): 20190716.</t>
  </si>
  <si>
    <t>Dactyloidae</t>
  </si>
  <si>
    <t>Anolis</t>
  </si>
  <si>
    <t>sagrei</t>
  </si>
  <si>
    <t>Anolis sagrei</t>
  </si>
  <si>
    <t xml:space="preserve">Elevation estimated from Google Earth. Season was taken to be "summer" because animals were collected in June. Body mass and body length (snout-vent length) were calculated from the raw data and taken as the mean between the two acclimation treatments. Common_temp was taken as the mean of the range presented (24 to 28C). Acc_temp_var was taken as the mean between the two acclimation treatments. </t>
  </si>
  <si>
    <t xml:space="preserve">0.8432740	</t>
  </si>
  <si>
    <t xml:space="preserve">Four populations ("Bird Rock, BR", "Pescadero, PE", "Santa Cruz, SC" amd "San Diego, SD") were used in this study. </t>
  </si>
  <si>
    <t>https://datadryad.org/stash/dataset/doi:10.5061/dryad.np5hqbzp0</t>
  </si>
  <si>
    <t>Healy_et_al_2019</t>
  </si>
  <si>
    <t>Variation in developmental temperature alters adulthood plasticity of thermal tolerance in Tigriopus californicus</t>
  </si>
  <si>
    <t>10.1242/jeb.213405</t>
  </si>
  <si>
    <t>Healy, Timothy M., Antonia K. Bock, and Ronald S. Burton. "Variation in developmental temperature alters adulthood plasticity of thermal tolerance in Tigriopus californicus." Journal of Experimental Biology 222, no. 22 (2019).</t>
  </si>
  <si>
    <t>Hexanauplia</t>
  </si>
  <si>
    <t>Harpacticoida</t>
  </si>
  <si>
    <t>Harpacticidae</t>
  </si>
  <si>
    <t>Tigriopus</t>
  </si>
  <si>
    <t>californicus</t>
  </si>
  <si>
    <t>Tigriopus californicus</t>
  </si>
  <si>
    <t>mixed</t>
  </si>
  <si>
    <t xml:space="preserve">Data for the Bird Rock (BR) population acclimated to 20C as adults. Geographical coordinates were taken from Tab S1. The endpoint was "the loss of locomotor performance (i.e. knockdown)". Ramping rate was taken to be 0.1C/min although temperature was ramped at 0.1C/20 seconds from 20 to 32C (which is lower than any of the CTmax recorded).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</si>
  <si>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Bird Rock (BR) population acclimated to 25C for 10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</si>
  <si>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Bird Rock (BR)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</si>
  <si>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Pescadero (PE) population acclimated to 20C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</si>
  <si>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Pescadero (PE)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</si>
  <si>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Santa Cruz (SC) population acclimated to 20C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</si>
  <si>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Santa Cruz (SC)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</si>
  <si>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 Diego (SD) population acclimated to 20C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</si>
  <si>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 Diego (SD) population acclimated to 25C for 10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</si>
  <si>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 Diego (SD)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</si>
  <si>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Three species were tested in this study. </t>
  </si>
  <si>
    <t xml:space="preserve">https://datadryad.org/stash/dataset/doi:10.5061/dryad.z8w9ghx7z </t>
  </si>
  <si>
    <t>Illing_et_al_2020</t>
  </si>
  <si>
    <t>Critical thermal maxima of early life stages of three tropical fishes: Effects of rearing temperature and experimental heating rate</t>
  </si>
  <si>
    <t>https://doi.org/10.1016/j.jtherbio.2020.102582</t>
  </si>
  <si>
    <t>Illing, B., A. T. Downie, M. Beghin, and J. L. Rummer. "Critical thermal maxima of early life stages of three tropical fishes: Effects of rearing temperature and experimental heating rate." Journal of Thermal Biology 90 (2020): 102582.</t>
  </si>
  <si>
    <t>Acanthochromis</t>
  </si>
  <si>
    <t>polyacanthus</t>
  </si>
  <si>
    <t>Acanthochromis polyacanthus</t>
  </si>
  <si>
    <t>Data for 7 dph A. polyacanthus tested at a heating rate of 5C/h. Body mass and body length (standard length) were calculated from the raw data as the mean between the two treatments. Acc_temp_var was taken as the mean between the two treatments.</t>
  </si>
  <si>
    <t>Data for 7 dph A. polyacanthus tested at a heating rate of 1C/h. Body mass and body length (standard length) were calculated from the raw data as the mean between the two treatments. Acc_temp_var was taken as the mean between the two treatments.</t>
  </si>
  <si>
    <t>Data for 7 dph A. polyacanthus tested at a heating rate of 0.5C/h. Body mass and body length (standard length) were calculated from the raw data as the mean between the two treatments. Acc_temp_var was taken as the mean between the two treatments.</t>
  </si>
  <si>
    <t>Data for 14 dph A. polyacanthus tested at a heating rate of 0.5C/h. Body mass and body length (standard length) were calculated from the raw data as the mean between the two treatments. Acc_temp_var was taken as the mean between the two treatments.</t>
  </si>
  <si>
    <t>Data for 14 dph A. polyacanthus tested at a heating rate of 1C/h. Body mass and body length (standard length) were calculated from the raw data as the mean between the two treatments. Acc_temp_var was taken as the mean between the two treatments.</t>
  </si>
  <si>
    <t>Data for 14 dph A. polyacanthus tested at a heating rate of 5C/h. Body mass and body length (standard length) were calculated from the raw data as the mean between the two treatments. Acc_temp_var was taken as the mean between the two treatments.</t>
  </si>
  <si>
    <t>Data for 21 dph A. polyacanthus tested at a heating rate of 0.5C/h. Body mass and body length (standard length) were calculated from the raw data as the mean between the two treatments. Acc_temp_var was taken as the mean between the two treatments.</t>
  </si>
  <si>
    <t>Data for 21 dph A. polyacanthus tested at a heating rate of 1C/h. Body mass and body length (standard length) were calculated from the raw data as the mean between the two treatments. Acc_temp_var was taken as the mean between the two treatments.</t>
  </si>
  <si>
    <t>Data for 21 dph A. polyacanthus tested at a heating rate of 5C/h. Body mass and body length (standard length) were calculated from the raw data as the mean between the two treatments. Acc_temp_var was taken as the mean between the two treatments.</t>
  </si>
  <si>
    <t>Amphiprion</t>
  </si>
  <si>
    <t>melanopus</t>
  </si>
  <si>
    <t>Amphiprion melanopus</t>
  </si>
  <si>
    <t>Data for 7 dph A. melanopus tested at a heating rate of 0.5C/h. Body mass and body length (standard length) were calculated from the raw data as the mean between the two treatments. Acc_temp_var was taken as the mean between the two treatments.</t>
  </si>
  <si>
    <t>Data for 7 dph A. melanopus tested at a heating rate of 1C/h. Body mass and body length (standard length) were calculated from the raw data as the mean between the two treatments. Acc_temp_var was taken as the mean between the two treatments.</t>
  </si>
  <si>
    <t>Data for 7 dph A. melanopus tested at a heating rate of 5C/h. Body mass and body length (standard length) were calculated from the raw data as the mean between the two treatments. Acc_temp_var was taken as the mean between the two treatments.</t>
  </si>
  <si>
    <t>Data for 14 dph A. melanopus tested at a heating rate of 0.5C/h. Body mass and body length (standard length) were calculated from the raw data as the mean between the two treatments. Acc_temp_var was taken as the mean between the two treatments.</t>
  </si>
  <si>
    <t>Data for 14 dph A. melanopus tested at a heating rate of 1C/h. Body mass and body length (standard length) were calculated from the raw data as the mean between the two treatments. Acc_temp_var was taken as the mean between the two treatments.</t>
  </si>
  <si>
    <t>Data for 14 dph A. melanopus tested at a heating rate of 5C/h. Body mass and body length (standard length) were calculated from the raw data as the mean between the two treatments. Acc_temp_var was taken as the mean between the two treatments.</t>
  </si>
  <si>
    <t>Data for 21 dph A. melanopus tested at a heating rate of 0.5C/h. Body mass and body length (standard length) were calculated from the raw data as the mean between the two treatments. Acc_temp_var was taken as the mean between the two treatments.</t>
  </si>
  <si>
    <t>Data for 21 dph A. melanopus tested at a heating rate of 1C/h. Body mass and body length (standard length) were calculated from the raw data as the mean between the two treatments. Acc_temp_var was taken as the mean between the two treatments.</t>
  </si>
  <si>
    <t>Data for 21 dph A. melanopus tested at a heating rate of 5C/h. Body mass was calculated from the raw data as the mean between the two treatments. Body length was not recorded for these animals. Acc_temp_var was taken as the mean between the two treatments.</t>
  </si>
  <si>
    <t>Latidae</t>
  </si>
  <si>
    <t>Lates</t>
  </si>
  <si>
    <t>calcarifer</t>
  </si>
  <si>
    <t>Lates calcarifer</t>
  </si>
  <si>
    <t xml:space="preserve">Data for 7 dph L. calcarifer tested at a heating rate of 0.5C/h. Body length not available for this species. </t>
  </si>
  <si>
    <t xml:space="preserve">Data for 7 dph L. calcarifer tested at a heating rate of 1C/h. Body length not available for this species. </t>
  </si>
  <si>
    <t xml:space="preserve">Data for 7 dph L. calcarifer tested at a heating rate of 5C/h. Body length not available for this species. </t>
  </si>
  <si>
    <t xml:space="preserve">Data for 14 dph L. calcarifer tested at a heating rate of 0.5C/h. Body length not available for this species. </t>
  </si>
  <si>
    <t xml:space="preserve">Data for 14 dph L. calcarifer tested at a heating rate of 1C/h. Body length not available for this species. </t>
  </si>
  <si>
    <t xml:space="preserve">Data for 14 dph L. calcarifer  tested at a heating rate of 5C/h. Body length not available for this species. </t>
  </si>
  <si>
    <t xml:space="preserve">Data for 21 dph L. calcarifer  tested at a heating rate of 0.5C/h. Body length not available for this species. </t>
  </si>
  <si>
    <t xml:space="preserve">Data for 21 dph L. calcarifer tested at a heating rate of 1C/h. Body length not available for this species. </t>
  </si>
  <si>
    <t xml:space="preserve">Data for 21 dph L. calcarifer  tested at a heating rate of 5C/h. Body length not available for this species. </t>
  </si>
  <si>
    <t xml:space="preserve">Three populations ("thermally selected", "Nagano" and "Donaldson") were used in this study. The first two were used for CTmax assays, whereas only the thermally selected and Donaldson populations were used for LT50 assays. LOE and death were measured on the same animals, hence the shared cohort_ID. </t>
  </si>
  <si>
    <t>024_Ineno_2005_Fig3a &amp; 024_Ineno_2005_Fig3b</t>
  </si>
  <si>
    <t>Ineno_et_al_2005</t>
  </si>
  <si>
    <t>Thermal tolerance of a rainbow trout Oncorhynchus mykiss strain selected by high-temperature breeding</t>
  </si>
  <si>
    <t>Fisheries Science</t>
  </si>
  <si>
    <t>https://doi.org/10.1111/j.1444-2906.2005.01026.x</t>
  </si>
  <si>
    <t>Ineno, Toshinao, Shuji Tsuchida, Mikio Kanda, and Shugo Watabe. "Thermal tolerance of a rainbow trout Oncorhynchus mykiss strain selected by high-temperature breeding." Fisheries Science 71, no. 4 (2005): 767-775.</t>
  </si>
  <si>
    <t>Data for the "thermally selected" strain, where parents were exposed to 31-35C for 1-5 min during their life and the survived fish were used for reproduction. Acc_duration was "1 month" so it was taken as 30 days. Age_tested was "6 months" so it was taken as 365/2</t>
  </si>
  <si>
    <t>Data for the Nagano population. Acc_duration was "1 month" so it was taken as 30 days. Age_tested was "6 months" so it was taken as 365/2</t>
  </si>
  <si>
    <t xml:space="preserve">Three populations ("thermally selected", "Nagano" and "Donaldson") were used in this study. The first two were used for CTmax assays, whereas only the thermally selected and Donaldson populations were used for LT50 assays. </t>
  </si>
  <si>
    <t>Fig1a and Fig2a</t>
  </si>
  <si>
    <t>025_Ineno_2005_Fig1a &amp; 026_Ineno_2005_fig2a</t>
  </si>
  <si>
    <t>n_animals_per_replicate approximated</t>
  </si>
  <si>
    <t>Standard error probably under- or over-estimated because the number of animals at each test temperatures was not clearly stated and is used for calculating LT50.</t>
  </si>
  <si>
    <t xml:space="preserve">Data for embryos at the "early segmentation" stage from the "thermally selected" strain, where survival was measured over 360 min. Acc_duration was different between the two incubation treatments so the mean was taken. Different n_test_temp (5 or 7) were used for the two incubation treatments so the mean number of test temperatures was taken. n_animals_per_replicate was taken as 22,800 eggs divided between 2 strains, 2 acclimation temperatures, 3 developmental stages, 7 test temperatures and 8 set times = ~ 34 individuals for the group incubated to 10C; and ~ 48 for the embryos incubated to 14C (only 5 test temperatures). Therefore, we indicated the n_animals_per_replicates to be approximately 41. </t>
  </si>
  <si>
    <t xml:space="preserve">Data digitised from figure.  Sample sizes were taken as the number of test temperatures * the number of replicate test temperatures. I fitted a logistic regression and used the dose.p() function from 'MASS' to calculate LT50. The standard error is provided instead of SD. Note that some data points from the figures were not taken because they were irrelevant in calculating LT50 (see NA values in Table 1), or calculating comparisons between the two incubation treatments. Therefore, only the LT50 estimations relevant to our study were included here. </t>
  </si>
  <si>
    <t>Fig1e and Fig2e</t>
  </si>
  <si>
    <t>025_Ineno_2005_Fig1e &amp; 026_Ineno_2005_fig2e</t>
  </si>
  <si>
    <t>Fig1b and Fig2b</t>
  </si>
  <si>
    <t>025_Ineno_2005_Fig1b &amp; 026_Ineno_2005_fig2b</t>
  </si>
  <si>
    <t>Fig1f and Fig2f</t>
  </si>
  <si>
    <t>025_Ineno_2005_Fig1f &amp; 026_Ineno_2005_fig2f</t>
  </si>
  <si>
    <t xml:space="preserve">Four populations ("Myrt", "Louisa", "Opeongo" and "Manitou") were used in this study. Treatments were re-used in stepwise comparisons. </t>
  </si>
  <si>
    <t>027_Kelly_2014_Fig1</t>
  </si>
  <si>
    <t>Kelly_et_al_2014</t>
  </si>
  <si>
    <t>Ice age fish in a warming world: minimal variation in thermal acclimation capacity among lake trout (Salvelinus namaycush) populations</t>
  </si>
  <si>
    <t>10.1093/conphys/cou025</t>
  </si>
  <si>
    <t>Kelly, Nicholas I., Gary Burness, Jenni L. McDermid, and Chris C. Wilson. "Ice age fish in a warming world: minimal variation in thermal acclimation capacity among lake trout (Salvelinus namaycush) populations." Conservation physiology 2, no. 1 (2014): cou025.</t>
  </si>
  <si>
    <t>namaycush</t>
  </si>
  <si>
    <t>Salvelinus namaycush</t>
  </si>
  <si>
    <t xml:space="preserve">Animals were relatively old, but not sexually mature. </t>
  </si>
  <si>
    <t>Data for the Myrt lake population. Elevation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</si>
  <si>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Data for the Louisa lake population. Coordinates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</si>
  <si>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Data for the Opeongo lake population. Coordinates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</si>
  <si>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Data for the Manitou lake population. Elevation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</si>
  <si>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028_Kern_2015_Fig2</t>
  </si>
  <si>
    <t>Kern_et_al_2015</t>
  </si>
  <si>
    <t>Plasticity of protective mechanisms only partially explains interactive effects of temperature and UVR on upper thermal limits</t>
  </si>
  <si>
    <t>http://dx.doi.org/10.1016/j.cbpa.2015.09.007</t>
  </si>
  <si>
    <t>Kern, Pippa, Rebecca L. Cramp, Frank Seebacher, Ensiyeh Ghanizadeh Kazerouni, and Craig E. Franklin. "Plasticity of protective mechanisms only partially explains interactive effects of temperature and UVR on upper thermal limits." Comparative Biochemistry and Physiology Part A: Molecular &amp; Integrative Physiology 190 (2015): 75-82.</t>
  </si>
  <si>
    <t>Limnodynastidae</t>
  </si>
  <si>
    <t>Limnodynastes</t>
  </si>
  <si>
    <t>peronii</t>
  </si>
  <si>
    <t>Limnodynastes peronii</t>
  </si>
  <si>
    <t xml:space="preserve">Eggs were collected from the wild. </t>
  </si>
  <si>
    <t>Data for the animals in the absence of UVR. Animals were considered "aquatic" because the life stage tested is aquatic. Egg masses were collected from the wild so the early development of the embryos did not occur in controlled conditions. Elevation estimated from Google Earth. Endpoint was "no response to mechanical stimulation with blunt forceps"</t>
  </si>
  <si>
    <t xml:space="preserve">Data digitised from figure. We did not include the treatment fluctuating between 18 and 28C because it was not directly comparable to the other treatments. We included both treatments exposed, or not exposed to UVR because they represent ecologically relevant and non-lethal conditions. </t>
  </si>
  <si>
    <t>Data for the animals in the presence of UVR. Animals were considered "aquatic" because the life stage tested is aquatic. Egg masses were collected from the wild so the early development of the embryos did not occur in controlled conditions. Elevation estimated from Google Earth. Endpoint was "no response to mechanical stimulation with blunt forceps"</t>
  </si>
  <si>
    <t>029_Kingsolver_2016_Fig2B</t>
  </si>
  <si>
    <t>Kingsolver_et_al_2016</t>
  </si>
  <si>
    <t>Plasticity of upper thermal limits to acute and chronic temperature variation in Manduca sexta larvae</t>
  </si>
  <si>
    <t>10.1242/jeb.138321</t>
  </si>
  <si>
    <t>Kingsolver, Joel G., Heidi J. MacLean, Silvan B. Goddin, and Kate E. Augustine. "Plasticity of upper thermal limits to acute and chronic temperature variation in Manduca sexta larvae." Journal of Experimental Biology 219, no. 9 (2016): 1290-1294.</t>
  </si>
  <si>
    <t>Sphingidae</t>
  </si>
  <si>
    <t>Manduca</t>
  </si>
  <si>
    <t>sexta</t>
  </si>
  <si>
    <t>Manduca sexta</t>
  </si>
  <si>
    <t xml:space="preserve">Endpoint was "the temperature at which larva begins to twitch or lose muscular control", which was considered analogous to the LOE. Acc_temp var was not taken for the constant treatment because it is unlikely that the temperature fluctuation was exactly equal to zero. housing_temp was taken was the mean of the range presented (25-26C). </t>
  </si>
  <si>
    <t>Data digitised from figure. The sample sizes provided for each fluctuating treatment (N=77 for the 0C and N=81 for 10C treatment groups) were divided equally between the three acclimation treatments (25, 28 and 30C) and rounded down</t>
  </si>
  <si>
    <t>Tab1</t>
  </si>
  <si>
    <t>Kir_2020</t>
  </si>
  <si>
    <t>Thermal tolerance and standard metabolic rate of juvenile gilthead seabream (Sparus aurata) acclimated to four temperatures</t>
  </si>
  <si>
    <t>https://doi.org/10.1016/j.jtherbio.2020.102739</t>
  </si>
  <si>
    <t>Kır, Mehmet. "Thermal tolerance and standard metabolic rate of juvenile gilthead seabream (Sparus aurata) acclimated to four temperatures." Journal of Thermal Biology 93 (2020): 102739.</t>
  </si>
  <si>
    <t>Sparidae</t>
  </si>
  <si>
    <t>Sparus</t>
  </si>
  <si>
    <t>aurata</t>
  </si>
  <si>
    <t>Sparus aurata</t>
  </si>
  <si>
    <t>farm</t>
  </si>
  <si>
    <t>Data taken from table. The sample sizes provided (N=80) were divided equally between the four acclimation treatments (15, 20, 25, 30C)</t>
  </si>
  <si>
    <t xml:space="preserve">Data taken from table. Sample sizes were taken as the number of test temperatures * the number of replicate test temperatures. Confidence intervals were converted to SE by dividing the confidence interval by 1.96. </t>
  </si>
  <si>
    <t>Kir_and_Demirci_2018</t>
  </si>
  <si>
    <t>Thermal tolerance and standard metabolic rate of juvenile European sea bass (Dicentrarchus labrax, Linnaeus, 1758) acclimated to four temperatures</t>
  </si>
  <si>
    <t>https://doi.org/10.1016/j.jtherbio.2018.10.008</t>
  </si>
  <si>
    <t>Kır, Mehmet, and Özgecan Demirci. "Thermal tolerance and standard metabolic rate of juvenile European sea bass (Dicentrarchus labrax, Linnaeus, 1758) acclimated to four temperatures." Journal of thermal biology 78 (2018): 209-213.</t>
  </si>
  <si>
    <t>Moronidae</t>
  </si>
  <si>
    <t>Dicentrarchus</t>
  </si>
  <si>
    <t>labrax</t>
  </si>
  <si>
    <t>Dicentrarchus labrax</t>
  </si>
  <si>
    <t xml:space="preserve">Data taken from table. </t>
  </si>
  <si>
    <t xml:space="preserve">The n_animals_per_replicate was taken as the lower sample size presented in Tab. 3 for each acclimation temperature compared. </t>
  </si>
  <si>
    <t>030_Larios-Soriano_2019_Fig1</t>
  </si>
  <si>
    <t>Larios-Soriano_et_al_2019</t>
  </si>
  <si>
    <t>Effect of acclimation temperature on thermoregulatory behaviour, thermal tolerance and respiratory metabolism of Lutjanus guttatus and the response of heat shock protein 70 (Hsp70) and lactate dehydrogenase (Ldh-a) genes</t>
  </si>
  <si>
    <t>Aquaculture Research</t>
  </si>
  <si>
    <t>10.1111/are.14455</t>
  </si>
  <si>
    <t>Larios‐Soriano, Ernesto, Ana Denise Re‐Araujo, Fernando Díaz, Clara Galindo Sánchez, Laura López‐Galindo, Leonardo Ibarra Castro, and Dariel Tovar Ramírez. "Effect of acclimation temperature on thermoregulatory behaviour, thermal tolerance and respiratory metabolism of Lutjanus guttatus and the response of heat shock protein 70 (Hsp70) and lactate dehydrogenase (Ldh‐a) genes." Aquaculture Research 51, no. 3 (2020): 1089-1100.</t>
  </si>
  <si>
    <t>Lutjanidae</t>
  </si>
  <si>
    <t>Lutjannus</t>
  </si>
  <si>
    <t>guttatus</t>
  </si>
  <si>
    <t>Lutjanus guttatus</t>
  </si>
  <si>
    <t>031_Leon_Palomino_2017_Fig3</t>
  </si>
  <si>
    <t>Leon-Palomino_et_al_2017</t>
  </si>
  <si>
    <t>Preferencia y tolerancia térmica de juveniles de chita Anisotremus scapularis (Pisces: Haemulidae)</t>
  </si>
  <si>
    <t>Revista de Biología Marina y Oceanografía</t>
  </si>
  <si>
    <t xml:space="preserve">http://dx.doi.org/10.4067/S0718-19572017000300014 </t>
  </si>
  <si>
    <t>León-Palomino, Candy, Jorge Flores-Mego, Jhon Dionicio-Acedo, Maryandrea Rosado-Salazar, Jonathan Flye-Sainte-Marie, and Arturo Aguirre-Velarde. "Preferencia y tolerancia térmica de juveniles de chita Anisotremus scapularis (Pisces: Haemulidae)." Revista de biología marina y oceanografía 52, no. 3 (2017): 581-589.</t>
  </si>
  <si>
    <t>Haemulidae</t>
  </si>
  <si>
    <t>Anisotremus</t>
  </si>
  <si>
    <t>scapularis</t>
  </si>
  <si>
    <t>Anisotremus scapularis</t>
  </si>
  <si>
    <t xml:space="preserve">Publication in Spanish. Content was translated using deepL translator. Animals in the 17C treatment group were acclimated for longer than the other animals. The body mass and body length presented were not taken because they represent the morphology before the acclimation period. </t>
  </si>
  <si>
    <t>032_Linton_1998_Fig2A</t>
  </si>
  <si>
    <t>Linton_et_al_1998</t>
  </si>
  <si>
    <t>Long-term exposure to small temperature increase and sublethal ammonia in hardwater acclimated rainbow trout: does acclimation occur?</t>
  </si>
  <si>
    <t>Aquatic Toxicology</t>
  </si>
  <si>
    <t>https://doi.org/10.1016/S0166-445X(97)00046-5</t>
  </si>
  <si>
    <t>Linton, Tyler K., I. J. Morgan, S. D. Reid, and C. M. Wood. "Long-term exposure to small temperature increase and sublethal ammonia in hardwater acclimated rainbow trout: does acclimation occur?." Aquatic toxicology 40, no. 2-3 (1998): 171-191.</t>
  </si>
  <si>
    <t>The temperatures of acclimation were not the exact values; but the difference between the two temperatures was correct.</t>
  </si>
  <si>
    <t>Data for the "summer satiation" animals. The temperatures of acclimation were not the exact values because each temperature was fluctuating. However, the high/low acclimation treatments differed consistently by 1.9C.</t>
  </si>
  <si>
    <t>Data digitised from figure. The data for the animals supplemented with ammonia were not included. Sample sizes were taken as the median of the range presented (6-10 individuals)</t>
  </si>
  <si>
    <t>Data for the "winter satiation" animals.  The temperatures of acclimation were not the exact values because each temperature was fluctuating. However, the high/low acclimation treatments differed consistently by 2C.</t>
  </si>
  <si>
    <t>Data for the "summer restricted" animals. Animals in this group were fed with a restricted amount of food during the acclimation.  The temperatures of acclimation were not the exact values because each temperature was fluctuating. However, the high/low acclimation treatments differed consistently by 1.9C.</t>
  </si>
  <si>
    <t xml:space="preserve">Two populations ("Hervey Range" and "Paluma") were used in this study. The same individuals were measured after one month and as adults, hence the shared cohort_ID. </t>
  </si>
  <si>
    <t>obtained</t>
  </si>
  <si>
    <t>Llewelyn_et_al_2018.csv</t>
  </si>
  <si>
    <t>Llewelyn_et_al_2018</t>
  </si>
  <si>
    <t>Adjusting to climate: Acclimation, adaptation and developmental plasticity in physiological traits of a tropical rainforest lizard</t>
  </si>
  <si>
    <t>Integrative Zoology</t>
  </si>
  <si>
    <t>10.1111/1749-4877.12309</t>
  </si>
  <si>
    <t>Llewelyn, John, Stewart L. Macdonald, Craig Moritz, Felipe Martins, Amberlee Hatcher, and Ben L. Phillips. "Adjusting to climate: Acclimation, adaptation and developmental plasticity in physiological traits of a tropical rainforest lizard." Integrative Zoology 13, no. 4 (2018): 411-427.</t>
  </si>
  <si>
    <t>Scincidae</t>
  </si>
  <si>
    <t>Lampropholis</t>
  </si>
  <si>
    <t>coggeri</t>
  </si>
  <si>
    <t>Lampropholis coggeri</t>
  </si>
  <si>
    <t>Data for the "HR" population. Year was taken as 2013 although the sampling effort occurred between June 2013 and February 2014. time_common_temp and age_tested were calculated as the age of the animals (1 month = 30 days) + the 2 days that separated the CTmin trial and the CTmax trial (see methods). The housing temperature was taken as the ambient temperature presented (21C) although note that a thermal gradient was also installed, which allowed animals to thermoregulate. Embryos were incubated until hatching but the exact acc_duration was not reported.</t>
  </si>
  <si>
    <t>Data for the "HR" population. Year was taken as 2013 although the sampling effort occurred between June 2013 and February 2014. time_common_temp and age_tested were not reported for adult animals. The housing temperature was taken as the ambient temperature presented (21C) although note that a thermal gradient was also installed, which allowed animals to thermoregulate. Embryos were incubated until hatching but the exact acc_duration was not reported.</t>
  </si>
  <si>
    <t>Data for the "Pal" population. Year was taken as 2013 although the sampling effort occurred between June 2013 and February 2014. time_common_temp and age_tested were calculated as the duration of acclimation (1 month = 30 days) + the 2 days that separated the\ CTmin trial and the CTmax trial (see methods). The housing temperature was taken as the ambient temperature presented (21C) although note that a thermal gradient was also installed, which allowed animals to thermoregulate. Embryos were incubated until hatching but the exact acc_duration was not reported.</t>
  </si>
  <si>
    <t>Data for the "Pal" population.Year was taken as 2013 although the sampling effort occurred between June 2013 and February 2014. time_common_temp and age_tested were not reported for adult animals. The housing temperature was taken as the ambient temperature presented (21C) although note that a thermal gradient was also installed, which allowed animals to thermoregulate. Embryos were incubated until hatching but the exact acc_duration was not reported.</t>
  </si>
  <si>
    <t>Lu_et_al_2020</t>
  </si>
  <si>
    <t>Acclimatory responses of thermal physiological performances in hatchling yellow pond turtles (Mauremys mutica)</t>
  </si>
  <si>
    <t>Animal Biology</t>
  </si>
  <si>
    <t>10.1163/15707563-20191106</t>
  </si>
  <si>
    <t>Lu, Hongliang, Yingchao Hu, Shuran Li, Wei Dang, and Yongpu Zhang. "Acclimatory responses of thermal physiological performances in hatchling yellow pond turtles (Mauremys mutica)." Animal Biology 70, no. 1 (2020): 55-65.</t>
  </si>
  <si>
    <t>mutica</t>
  </si>
  <si>
    <t>Mauremys mutica</t>
  </si>
  <si>
    <t>Body mass before acclimation.</t>
  </si>
  <si>
    <t xml:space="preserve">Was considered "terrestrial" because they manipulated ambient temperature and this species is semi-aquatic. Coordinates were not taken because animals were taken from a hatchery. The body masses taken were the body masses before acclimation, which were averaged between the two acclimation treatments. Ramping rate was taken as 0.1C/min (although the temperature was ramped at 0.3C/min until 35C) because all animals reached CTmax at temperatures higher than 35C. </t>
  </si>
  <si>
    <t xml:space="preserve">Data taken from table. SE was converted to SD. </t>
  </si>
  <si>
    <t xml:space="preserve">Treatment re-used in stepwise comparison. </t>
  </si>
  <si>
    <t>033_Ma_Ma_2012_Fig3</t>
  </si>
  <si>
    <t>Ma_and_Ma_2012</t>
  </si>
  <si>
    <t>Climate warming may increase aphids’ dropping probabilities in response to high temperatures</t>
  </si>
  <si>
    <t>Journal of Insect Physiology</t>
  </si>
  <si>
    <t>http://dx.doi.org/10.1016/j.jinsphys.2012.08.012</t>
  </si>
  <si>
    <t>Ma, Gang, and Chun-Sen Ma. "Climate warming may increase aphids’ dropping probabilities in response to high temperatures." Journal of Insect Physiology 58, no. 11 (2012): 1456-1462.</t>
  </si>
  <si>
    <t>Hemiptera</t>
  </si>
  <si>
    <t>Aphididae</t>
  </si>
  <si>
    <t>Sitobion</t>
  </si>
  <si>
    <t>avenae</t>
  </si>
  <si>
    <t>Sitobion avenae</t>
  </si>
  <si>
    <t>Endpoint was the "drop-off temperature", the temperature at which an aphid drops off the test arena. Humidity was taken as the mean of the range presented (50-70%)</t>
  </si>
  <si>
    <t>Data digitised from figure. Sample sizes were taken was the median of the range presented ("30-40 aphids" for each treatment). The adult data in Fig. 3 was excluded because developmental acclimation was confounded with adult acclimation.</t>
  </si>
  <si>
    <t xml:space="preserve">The same individuals were used for measuring agitation temperature and LOE temperature, hence the shared cohort_ID. </t>
  </si>
  <si>
    <t>Fig1a</t>
  </si>
  <si>
    <t>034_McDonnell_2019_Fig1a</t>
  </si>
  <si>
    <t>McDonnell_et_al_2019</t>
  </si>
  <si>
    <t>Independent and Interactive Effects of Long-Term Exposure to Hypoxia and Elevated Water Temperature on Behavior and Thermal Tolerance of an Equatorial Cichlid</t>
  </si>
  <si>
    <t>Physiological and Biochemical Zoology</t>
  </si>
  <si>
    <t>10.1086/702712</t>
  </si>
  <si>
    <t>McDonnell, Laura H., J. E. Reemeyer, and Lauren J. Chapman. "Independent and interactive effects of long-term exposure to hypoxia and elevated water temperature on behavior and thermal tolerance of an equatorial cichlid." Physiological and Biochemical Zoology 92, no. 3 (2019): 253-265.</t>
  </si>
  <si>
    <t>Cichliformes</t>
  </si>
  <si>
    <t>Cichlidae</t>
  </si>
  <si>
    <t>Pseudocrenilabrus</t>
  </si>
  <si>
    <t>multicolor</t>
  </si>
  <si>
    <t>Pseudocrenilabrus multicolor</t>
  </si>
  <si>
    <t>Data for fish in the normoxia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t>
  </si>
  <si>
    <t>Fig1b</t>
  </si>
  <si>
    <t>034_McDonnell_2019_Fig1b</t>
  </si>
  <si>
    <t xml:space="preserve">Data for fish in the normoxia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 Endpoint was the "agitation temperature", the temperature at which "the fish would begin to swim aroung agitatedly, which was interpreted as an avoidance behavior, as the fish began searching for a cooler refuge". </t>
  </si>
  <si>
    <t>Data for fish in the hypoxia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t>
  </si>
  <si>
    <t xml:space="preserve">Data for fish in the hypoxia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 Endpoint was the "agitation temperature", the temperature at which "the fish would begin to swim aroung agitatedly, which was interpreted as an avoidance behavior, as the fish began searching for a cooler refuge". </t>
  </si>
  <si>
    <t>035_Mitchell_1993_Fig1</t>
  </si>
  <si>
    <t>Mitchell_et_al_1993</t>
  </si>
  <si>
    <t>Critical thermal limits and temperature tolerance in the harvester termite Hodotermes mossambicus (Hagen)</t>
  </si>
  <si>
    <t>https://doi.org/10.1016/0022-1910(93)90085-6</t>
  </si>
  <si>
    <t>Mitchell, Jannette D., P. H. Hewitt, and TC De K. Van Der Linde. "Critical thermal limits and temperature tolerance in the harvester termite Hodotermes mossambicus (Hagen)." Journal of Insect Physiology 39, no. 6 (1993): 523-528.</t>
  </si>
  <si>
    <t>Blattodea</t>
  </si>
  <si>
    <t>Hodotermitidae</t>
  </si>
  <si>
    <t>Hodotermes</t>
  </si>
  <si>
    <t>mossambicus</t>
  </si>
  <si>
    <t>Hodotermes mossambicus</t>
  </si>
  <si>
    <t xml:space="preserve">Data for large larvae. Coordinates not reported because too vague (e.g. 29”S, 26”E). Endpoint was "when locomotion ceased". </t>
  </si>
  <si>
    <t xml:space="preserve">Data digitised from figure. The data for minor and major workers in Fig. 1 were excluded because developmental acclimation was confounded with adult acclimation. Sample sizes were taken as the median number of individuals used (9-18) * the number of colonies used (6) = 81 individuals. </t>
  </si>
  <si>
    <t xml:space="preserve">Treatments were acclimated for different durations. Sample size possibly under- or over-estimated. </t>
  </si>
  <si>
    <t xml:space="preserve">Data for large larvae. Coordinates not reported because too vague (e.g. 29”S, 26”E). Endpoint was "when locomotion ceased". Animals acclimated to 30C were acclimated for longer durations because 30C was the housing temperature. </t>
  </si>
  <si>
    <t>http://dx.doi.org/10.5061/dryad.t5453</t>
  </si>
  <si>
    <t>Moyano_et_al_2017</t>
  </si>
  <si>
    <t>Effects of warming rate, acclimation temperature and ontogeny on the critical thermal maximum of temperate marine fish larvae</t>
  </si>
  <si>
    <t>Plos One</t>
  </si>
  <si>
    <t>https://doi.org/10.1371/journal.pone.0179928</t>
  </si>
  <si>
    <t>Moyano, Marta, Caroline Candebat, Yannick Ruhbaum, Santiago Alvarez-Fernandez, Guy Claireaux, Jose-Luis Zambonino-Infante, and Myron A. Peck. "Effects of warming rate, acclimation temperature and ontogeny on the critical thermal maximum of temperate marine fish larvae." PLoS One 12, no. 7 (2017): e0179928.</t>
  </si>
  <si>
    <t>Clupeiformes</t>
  </si>
  <si>
    <t>Clupeidae</t>
  </si>
  <si>
    <t>Clupea</t>
  </si>
  <si>
    <t>harengus</t>
  </si>
  <si>
    <t>Clupea harengus</t>
  </si>
  <si>
    <t xml:space="preserve">Animals were of a different age when tested. </t>
  </si>
  <si>
    <t xml:space="preserve">Animals in different acclimation treatments were tested at different ages. We only took the comparisons where the age of the animals tested were relatively close (20-14 dph and 45-43 dph) to reduce the age bias. The age and body length were averaged between acclimation treatments. The duration of acclimation was the mean age of the animals minus the 9 days it took for experimenters to reach the acclimation temperatures. Acclimation temperatures and salinities were averaged between treatments. </t>
  </si>
  <si>
    <t xml:space="preserve">Data calculated from the raw data. Comparisons between certain age groups were not included because judged to the difference in age between acclimation treatments was judged too important. </t>
  </si>
  <si>
    <t>Fig5B</t>
  </si>
  <si>
    <t>036_Mueller_2019_Fig5B</t>
  </si>
  <si>
    <t>Mueller_et_al_2019</t>
  </si>
  <si>
    <t>Immediate and Persistent Effects of Temperature on Oxygen Consumption and Thermal Tolerance in Embryos and Larvae of the Baja California Chorus Frog, Pseudacris hypochondriaca</t>
  </si>
  <si>
    <t>Frontiers in Physiology</t>
  </si>
  <si>
    <t>10.3389/fphys.2019.00754</t>
  </si>
  <si>
    <t>Mueller, Casey A., Julie Bucsky, Lindsey Korito, and Samantha Manzanares. "Immediate and persistent effects of temperature on oxygen consumption and thermal tolerance in embryos and larvae of the Baja California chorus frog, Pseudacris hypochondriaca." Frontiers in physiology 10 (2019): 754.</t>
  </si>
  <si>
    <t>Hylidae</t>
  </si>
  <si>
    <t>Pseudacris</t>
  </si>
  <si>
    <t>hypochondriaca</t>
  </si>
  <si>
    <t>Pseudacris hypochondriaca</t>
  </si>
  <si>
    <t>F</t>
  </si>
  <si>
    <t>Eggs were collected from the wild.</t>
  </si>
  <si>
    <t xml:space="preserve">Data for the animals re-acclimated to 20C.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t>
  </si>
  <si>
    <t xml:space="preserve">Data digitised from figure. The sample sizes were taken as the median of the range presented (5-14) = 9. </t>
  </si>
  <si>
    <t>Eggs were collected from the wild. Treatments were acclimated for different durations.</t>
  </si>
  <si>
    <t>Data for the animals re-acclimated to 20C.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Animals who were first incubated at 20C were acclimated for longer than the animals incubated to 15 or 25C; hence why "incubation_independent" was taken as "no"</t>
  </si>
  <si>
    <t xml:space="preserve">Data for the animals re-acclimated to 25C.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t>
  </si>
  <si>
    <t>Data for the animals re-acclimated to 20C.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Animals who were first incubated at 25C were acclimated for longer than the animals incubated to 20C; hence why "incubation_independent" was taken as "no"</t>
  </si>
  <si>
    <t xml:space="preserve">Four different families were tested in this study. </t>
  </si>
  <si>
    <t>037_Munoz_2018_Fig2</t>
  </si>
  <si>
    <t>Munoz_et_al_2018</t>
  </si>
  <si>
    <t>Hematocrit Is Associated with Thermal Tolerance and Modulated by Developmental Temperature in Juvenile Chinook Salmon</t>
  </si>
  <si>
    <t>10.1086/695556</t>
  </si>
  <si>
    <t>Muñoz, Nicolas J., Anthony P. Farrell, John W. Heath, and Bryan D. Neff. "Hematocrit is associated with thermal tolerance and modulated by developmental temperature in juvenile Chinook salmon." Physiological and Biochemical Zoology 91, no. 1 (2018): 757-762.</t>
  </si>
  <si>
    <t xml:space="preserve">Data for the family 1.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</si>
  <si>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Data digitised from figure. The sample sizes were taken as the median of the range presented (6-15) = 10. The standard deviations in the figure were overlapping. The standard deviations were assigned to a mean data point based on the order of the points in the graph.</t>
  </si>
  <si>
    <t xml:space="preserve">Data for the family 2.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</si>
  <si>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 xml:space="preserve">Data for the family 3.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</si>
  <si>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 xml:space="preserve">Data for the family 4.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</si>
  <si>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Treatments were re-used in stepwise comparisons. Three species were used in this study.</t>
  </si>
  <si>
    <t>038_Mutamiswa_2018a_Fig2B</t>
  </si>
  <si>
    <t>Mutamiswa_et_al_2018a</t>
  </si>
  <si>
    <t>Superior basal and plastic thermal responses to environmental heterogeneity in invasive exotic stemborer Chilo partellus Swinhoe over indigenous Busseola fusca (Fuller) and Sesamia calamistis Hampson</t>
  </si>
  <si>
    <t>Physiological Entomology</t>
  </si>
  <si>
    <t>10.1111/phen.12235</t>
  </si>
  <si>
    <t>Mutamiswa, Reyard, Frank Chidawanyika, and Casper Nyamukondiwa. "Superior basal and plastic thermal responses to environmental heterogeneity in invasive exotic stemborer Chilo partellus Swinhoe over indigenous Busseola fusca (Fuller) and Sesamia calamistis Hampson." Physiological Entomology 43, no. 2 (2018): 108-119.</t>
  </si>
  <si>
    <t>Noctuidae</t>
  </si>
  <si>
    <t>Busseola</t>
  </si>
  <si>
    <t>fusca</t>
  </si>
  <si>
    <t>Busseola fusca</t>
  </si>
  <si>
    <t xml:space="preserve">Endpoint was the "lack of response to mild stimuli such as prodding". </t>
  </si>
  <si>
    <t>Sesamia</t>
  </si>
  <si>
    <t>calamistis</t>
  </si>
  <si>
    <t>Sesamia calamistis</t>
  </si>
  <si>
    <t>Crambidae</t>
  </si>
  <si>
    <t>Chilo</t>
  </si>
  <si>
    <t>partellus</t>
  </si>
  <si>
    <t>Chilo partellus</t>
  </si>
  <si>
    <t xml:space="preserve">Treatments were re-used in stepwise comparisons. The population and family IDs were taken as the same as study_ID 69 because animals were from the same laboratory. </t>
  </si>
  <si>
    <t>FigS2C</t>
  </si>
  <si>
    <t>039_Mutamiswa_2018b_FigS2C</t>
  </si>
  <si>
    <t>Mutamiswa_et_al_2018b</t>
  </si>
  <si>
    <t>Thermal plasticity potentially mediates the interaction between host Chilo partellus Swinhoe (Lepidoptera: Crambidae) and endoparasitoid Cotesia flavipes Cameron (Hymenoptera: Braconidae) in rapidly changing environments</t>
  </si>
  <si>
    <t>Pest management science</t>
  </si>
  <si>
    <t>10.1002/ps.4807</t>
  </si>
  <si>
    <t>Mutamiswa, Reyard, Frank Chidawanyika, and Casper Nyamukondiwa. "Thermal plasticity potentially mediates the interaction between host Chilo partellus Swinhoe (Lepidoptera: Crambidae) and endoparasitoid Cotesia flavipes Cameron (Hymenoptera: Braconidae) in rapidly changing environments." Pest management science 74, no. 6 (2018): 1335-1345.</t>
  </si>
  <si>
    <t xml:space="preserve">Data very similar to study_ID 69. </t>
  </si>
  <si>
    <t xml:space="preserve">Data digitised from figure. Data is very similar to the ones in study ID 69. However, the sample size seems to differ between the two studies, which suggests potentially different data. </t>
  </si>
  <si>
    <t>040_Myrick_Cech_2005_Fig2</t>
  </si>
  <si>
    <t>Myrick_and_Cech_2005</t>
  </si>
  <si>
    <t>Effects of Temperature on the Growth, Food Consumption, and Thermal Tolerance of Age-0 Nimbus-Strain Steelhead</t>
  </si>
  <si>
    <t>North American Journal of Aquaculture</t>
  </si>
  <si>
    <t>10.1577/A04-050.1</t>
  </si>
  <si>
    <t>Myrick, Christopher A., and Joseph J. Cech Jr. "Effects of temperature on the growth, food consumption, and thermal tolerance of age-0 Nimbus-strain steelhead." North American Journal of Aquaculture 67, no. 4 (2005): 324-330.</t>
  </si>
  <si>
    <t xml:space="preserve">Body mass was averaged between the two treatments. </t>
  </si>
  <si>
    <t>041_Opuszynski_1989_Fig1</t>
  </si>
  <si>
    <t>Opuszynski_et_al_1989</t>
  </si>
  <si>
    <t>Upper lethal and rearing temperatures for juvenile common carp, Cyprinus carpio L., and silver carp, Hypophthalmichthys molitrix (Valenciennes)</t>
  </si>
  <si>
    <t>Aquaculture and Fisheries Management</t>
  </si>
  <si>
    <t xml:space="preserve"> https://doi.org/10.1111/j.1365-2109.1989.tb00354.x</t>
  </si>
  <si>
    <t>Opuszyňski, K., A. Lirski, L. Myszkowski, and J. Wolnicki. "Upper lethal and rearing temperatures for juvenile common carp, Cyprinus carpio L., and silver carp, Hypophthalmichthys molitrix (Valenciennes)." Aquaculture Research 20, no. 3 (1989): 287-294.</t>
  </si>
  <si>
    <t>Hypophthalmichthys</t>
  </si>
  <si>
    <t>molitrix</t>
  </si>
  <si>
    <t>Hypophthalmichthys molitrix</t>
  </si>
  <si>
    <t xml:space="preserve">Animals were tested at different ages. </t>
  </si>
  <si>
    <t xml:space="preserve">The age of the animals tested ranged from 3 to 28 dph. </t>
  </si>
  <si>
    <t>https://doi.org/10.5061/dryad.rv982</t>
  </si>
  <si>
    <t>Oyamaguchi_et_al_2018</t>
  </si>
  <si>
    <t>Thermal sensitivity of a Neotropical amphibian (Engystomops pustulosus) and its vulnerability to climate change</t>
  </si>
  <si>
    <t>Biotropica</t>
  </si>
  <si>
    <t>10.1111/btp.12519</t>
  </si>
  <si>
    <t>Oyamaguchi, Hilton M., Pacific Vo, Kiran Grewal, Robert Do, Eugene Erwin, Narin Jeong, Katherine Tse et al. "Thermal sensitivity of a Neotropical amphibian (Engystomops pustulosus) and its vulnerability to climate change." Biotropica 50, no. 2 (2018): 326-337.</t>
  </si>
  <si>
    <t>Leptodactylidae</t>
  </si>
  <si>
    <t>Engystomops</t>
  </si>
  <si>
    <t>pustulosus</t>
  </si>
  <si>
    <t>Engystomops pustulosus</t>
  </si>
  <si>
    <t xml:space="preserve">Was considered "aquatic" because the life stage tested is aquatic. Mean acclimation duration, body length, and body mass (calculated from raw data) was taken as the average between the two treatments.  </t>
  </si>
  <si>
    <t xml:space="preserve">Data calculated from the raw data. </t>
  </si>
  <si>
    <t>Treatments re-used in stepwise comparisons. The same animals were used for LOE and death endpoints.</t>
  </si>
  <si>
    <t>042_Peng_2014_Fig1A</t>
  </si>
  <si>
    <t>Peng_et_al_2014</t>
  </si>
  <si>
    <t>The effects of constant and diel-fluctuating temperature acclimation on the thermal tolerance, swimming capacity, specific dynamic action and growth performance of juvenile Chinese bream</t>
  </si>
  <si>
    <t>http://dx.doi.org/10.1016/j.cbpa.2014.07.005</t>
  </si>
  <si>
    <t>Peng, Jing, Zhen-Dong Cao, and Shi-Jian Fu. "The effects of constant and diel-fluctuating temperature acclimation on the thermal tolerance, swimming capacity, specific dynamic action and growth performance of juvenile Chinese bream." Comparative Biochemistry and Physiology Part A: Molecular &amp; Integrative Physiology 176 (2014): 32-40.</t>
  </si>
  <si>
    <t>Parabramis</t>
  </si>
  <si>
    <t>pekinensis</t>
  </si>
  <si>
    <t>Parabramis pekinensis</t>
  </si>
  <si>
    <t xml:space="preserve">Body mass and body length were averaged between treatments (see table 1). pH was taken as the mean of the range presented (6.8-7.4). </t>
  </si>
  <si>
    <t>Fig1C</t>
  </si>
  <si>
    <t>043_Peng_2014_Fig1C</t>
  </si>
  <si>
    <t>Fig2C</t>
  </si>
  <si>
    <t>045_Pimentel_2014_Fig2BC</t>
  </si>
  <si>
    <t>Pimentel_et_al_2014</t>
  </si>
  <si>
    <t>Defective skeletogenesis and oversized otoliths in fish early stages in a changing ocean</t>
  </si>
  <si>
    <t>10.1242/jeb.092635</t>
  </si>
  <si>
    <t>Pimentel, Marta S., Filipa Faleiro, Gisela Dionísio, Tiago Repolho, Pedro Pousão-Ferreira, Jorge Machado, and Rui Rosa. "Defective skeletogenesis and oversized otoliths in fish early stages in a changing ocean." Journal of Experimental Biology 217, no. 12 (2014): 2062-2070.</t>
  </si>
  <si>
    <t>Pleuronectiformes</t>
  </si>
  <si>
    <t>Soleidae</t>
  </si>
  <si>
    <t>Solea</t>
  </si>
  <si>
    <t>senegalensis</t>
  </si>
  <si>
    <t>Solea senegalensis</t>
  </si>
  <si>
    <t>Data for animals tested upon hatching. Acc_duration was unclear because they do not represent the time to hatching.</t>
  </si>
  <si>
    <t xml:space="preserve">Data digitised from figure. The LT50 data presented in Fig2B was excluded because it represents the same data as in Fig 2C, but using different calculations. </t>
  </si>
  <si>
    <t>Data for the 30 dph animals. Acc_duration was unclear because they do not represent the time to hatching. Body length was digitised for fig. 1C</t>
  </si>
  <si>
    <t>Piyaphongkul_et_al_2014</t>
  </si>
  <si>
    <t>Effects of acclimation on the thermal tolerance of the brown planthopper Nilaparvata lugens (Stål)</t>
  </si>
  <si>
    <t>Agricultural and Forest Entomology</t>
  </si>
  <si>
    <t>10.1111/afe.12047</t>
  </si>
  <si>
    <t>Piyaphongkul, Jiranan, Jeremy Pritchard, and Jeffrey Bale. "Effects of acclimation on the thermal tolerance of the brown planthopper Nilaparvata lugens (S tål)." Agricultural and Forest Entomology 16, no. 2 (2014): 174-183.</t>
  </si>
  <si>
    <t>Delphacidae</t>
  </si>
  <si>
    <t>Nilaparvata</t>
  </si>
  <si>
    <t>lugens</t>
  </si>
  <si>
    <t>Nilaparvata lugens</t>
  </si>
  <si>
    <t xml:space="preserve">The endpoint was "the temperatures at which the insects exhibited uncoordinated movement and became immobile". Animals were acclimated for different times, but were all at the same developmental stage when tested. The acc_duration was averaged between treatments. The ramping rate was taken as 0.1C/min as it was the latest ramping prior to reaching CTmax. </t>
  </si>
  <si>
    <t xml:space="preserve">The endpoint was the "heat coma temperature". Animals were acclimated for different times, but were all at the same developmental stage when tested. The acc_duration was averaged between treatments. The ramping rate was taken as 0.1C/min as it was the latest ramping prior to reaching CTmax. </t>
  </si>
  <si>
    <t xml:space="preserve">The number of test temperatures was not indicated. Animals were only maintained for 2 minutes at the test temperatures before being returned to 23C. </t>
  </si>
  <si>
    <t xml:space="preserve">The standard error is provided instead of SD. The sample size was taken as the number of replicates at each test temperatures. </t>
  </si>
  <si>
    <t>046_Re_2012_Fig1A</t>
  </si>
  <si>
    <t>Re_et_al_2012</t>
  </si>
  <si>
    <t>Combined effect of temperature and salinity on the Thermotolerance and osmotic pressure of juvenile white shrimp litopenaeus vannamei (Boone)</t>
  </si>
  <si>
    <t>http://dx.doi.org/10.1016/j.jtherbio.2012.04.004</t>
  </si>
  <si>
    <t>Re, Ana Denisse, Fernando Díaz, Elizabeth Ponce-Rivas, Ivonne Giffard, Ma Enriqueta Muñoz-Marquez, and Hector M. Sigala-Andrade. "Combined effect of temperature and salinity on the thermotolerance and osmotic pressure of juvenile white shrimp Litopenaeus vannamei (Boone)." Journal of Thermal Biology 37, no. 6 (2012): 413-418.</t>
  </si>
  <si>
    <t>Malacostraca</t>
  </si>
  <si>
    <t>Decapoda</t>
  </si>
  <si>
    <t>Penaeidae</t>
  </si>
  <si>
    <t>Litopenaeus</t>
  </si>
  <si>
    <t>vannamei</t>
  </si>
  <si>
    <t>Litopenaeus vannamei</t>
  </si>
  <si>
    <t>The body mass taken was the body mass prior to acclimation.</t>
  </si>
  <si>
    <t>Fig1B</t>
  </si>
  <si>
    <t>046_Re_2012_Fig1B</t>
  </si>
  <si>
    <t>046_Re_2012_Fig1C</t>
  </si>
  <si>
    <t>047_Reyes_2011_Fig2</t>
  </si>
  <si>
    <t>Reyes_et_al_2011</t>
  </si>
  <si>
    <t>Behavioral thermoregulation, temperature tolerance and oxygen consumption in the Mexican bullseye puffer fish, Sphoeroides annulatus Jenyns (1842), acclimated to different temperatures</t>
  </si>
  <si>
    <t>10.1016/j.jtherbio.2011.03.003</t>
  </si>
  <si>
    <t>Reyes, Izbelt, Fernando Díaz, Ana Denisse Re, and Javier Perez. "Behavioral thermoregulation, temperature tolerance and oxygen consumption in the Mexican bullseye puffer fish, Sphoeroides annulatus Jenyns (1842), acclimated to different temperatures." Journal of Thermal Biology 36, no. 3 (2011): 200-205.</t>
  </si>
  <si>
    <t>Tetraodontiformes</t>
  </si>
  <si>
    <t>Tetraodontidae</t>
  </si>
  <si>
    <t>Sphoeroides</t>
  </si>
  <si>
    <t>annulatus</t>
  </si>
  <si>
    <t>Sphoeroides annulatus</t>
  </si>
  <si>
    <t xml:space="preserve">Body length before acclimation. </t>
  </si>
  <si>
    <t>The body length taken was the total length before the acclimation period. Oxygen was taken as the mean of the range presented (5.4-10.5)</t>
  </si>
  <si>
    <t>Sakurai_et_al_2021</t>
  </si>
  <si>
    <t>Importance of experienced thermal history: Effect of acclimation temperatures on the high-temperature tolerance and growth performance of juvenile marbled flounder</t>
  </si>
  <si>
    <t>https://doi.org/10.1016/j.jtherbio.2020.102831</t>
  </si>
  <si>
    <t>Sakurai, Gento, Satoshi Takahashi, Yusei Yoshida, Hiroshi Yoshida, Jun Shoji, and Takeshi Tomiyama. "Importance of experienced thermal history: Effect of acclimation temperatures on the high-temperature tolerance and growth performance of juvenile marbled flounder." Journal of Thermal Biology 97 (2021): 102831.</t>
  </si>
  <si>
    <t>Pleuronectidae</t>
  </si>
  <si>
    <t>Pseudopleuronectes</t>
  </si>
  <si>
    <t>yokohamae</t>
  </si>
  <si>
    <t>Pseudopleuronectes yokohamae</t>
  </si>
  <si>
    <t>Body length was averaged between the treatment groups. Housing_temp was taken as the mean of the range presented (11-15C)</t>
  </si>
  <si>
    <t xml:space="preserve">Data taken from the results section. </t>
  </si>
  <si>
    <t>048_Sakurai_2021_Fig2</t>
  </si>
  <si>
    <t xml:space="preserve">Standard error missing. </t>
  </si>
  <si>
    <t xml:space="preserve">Body length was averaged between the treatment groups. Housing_temp was taken as the mean of the range presented (11-15C). Duration of acclimation was slightly different between the test temperatures (13 or 14d) so the average duration of acclimation was taken. </t>
  </si>
  <si>
    <t>Data taken from figure. The data was not digitised because the mortality presented was always either 0 or 1. Sample sizes were taken as the n_test_temp * n_replicates_per_temp. I fitted a logistic regression and used the dose.p() function from 'MASS' to calculate LT50. Unfortunately, the model failed to converge and the SE estimated from the model was very large. Therefore, the mean LT50 was the one presented in the abstract and the standard error was reported as "NA".</t>
  </si>
  <si>
    <t>https://doi.org/10.5061/dryad.25b8f</t>
  </si>
  <si>
    <t>Salachan_and_Sorensen_2017</t>
  </si>
  <si>
    <t>Critical thermal limits affected differently by developmental and adult thermal fluctuations</t>
  </si>
  <si>
    <t>https://doi.org/10.1242/jeb.165308</t>
  </si>
  <si>
    <t>Salachan, Paul Vinu, and Jesper Givskov Sørensen. "Critical thermal limits affected differently by developmental and adult thermal fluctuations." Journal of Experimental Biology 220, no. 23 (2017): 4471-4478.</t>
  </si>
  <si>
    <t>Diptera</t>
  </si>
  <si>
    <t>Drosophilidae</t>
  </si>
  <si>
    <t>Drosophila</t>
  </si>
  <si>
    <t>melanogaster</t>
  </si>
  <si>
    <t>Drosophila melanogaster</t>
  </si>
  <si>
    <t xml:space="preserve">Data for animals tested at 9 days of age, and acclimated as adults to 19C +/- 4C. mobility_life_stage_manip was taken as "immobile" because most of the life stages acclimated were immobile (embryos and pupae). Animals who were first incubated at 19C were acclimated for longer than the animals incubated to 23C; hence why "incubation_independent" was taken as "no". acc_duration not reported because the time from egg to adult was not reported. Endpoint was "the temperature at which all movements ceased". </t>
  </si>
  <si>
    <t xml:space="preserve">Data for animals tested at 9 days of age, and acclimated as adults to 19C +/- 8C. mobility_life_stage_manip was taken as "immobile" because most of the life stages acclimated were immobile (embryos and pupae). Animals who were first incubated at 19C were acclimated for longer than the animals incubated to 23C; hence why "incubation_independent" was taken as "no". acc_duration not reported because the time from egg to adult was not reported. Endpoint was "the temperature at which all movements ceased". </t>
  </si>
  <si>
    <t xml:space="preserve">Data for animals tested at 9 days of age, and acclimated as adults to 23C +/- 4C. mobility_life_stage_manip was taken as "immobile" because most of the life stages acclimated were immobile (embryos and pupae). Animals who were first incubated at 23C were acclimated for longer than the animals incubated to 19C; hence why "incubation_independent" was taken as "no". acc_duration not reported because the time from egg to adult was not reported. Endpoint was "the temperature at which all movements ceased". </t>
  </si>
  <si>
    <t xml:space="preserve">Data for animals tested at 9 days of age, and acclimated as adults to 23C +/- 8C. mobility_life_stage_manip was taken as "immobile" because most of the life stages acclimated were immobile (embryos and pupae). Animals who were first incubated at 23C were acclimated for longer than the animals incubated to 19C; hence why "incubation_independent" was taken as "no". acc_duration not reported because the time from egg to adult was not reported. Endpoint was "the temperature at which all movements ceased". </t>
  </si>
  <si>
    <t>https://royalsocietypublishing.org/doi/suppl/10.1098/rstb.2018.0177</t>
  </si>
  <si>
    <t>Salinas_et_al_2019</t>
  </si>
  <si>
    <t>Trait variation in extreme thermal environments under constant and fluctuating temperatures</t>
  </si>
  <si>
    <t>Philosophical Transactions of the Royal Society B</t>
  </si>
  <si>
    <t>http://dx.doi.org/10.1098/rstb.2018.0177</t>
  </si>
  <si>
    <t>Salinas, Santiago, Shannon E. Irvine, Claire L. Schertzing, Shelby Q. Golden, and Stephan B. Munch. "Trait variation in extreme thermal environments under constant and fluctuating temperatures." Philosophical Transactions of the Royal Society B 374, no. 1768 (2019): 20180177.</t>
  </si>
  <si>
    <t>Pimephales</t>
  </si>
  <si>
    <t>promelas</t>
  </si>
  <si>
    <t>Pimephales promelas</t>
  </si>
  <si>
    <t xml:space="preserve">Animals acclimated to 25C were acclimated for 24h longer than other treatments. Acc_duration was taken as the age when the animals were tested (mean of 55 days) minus the age of the animals when they arrived to the lab (1 dph) minus the time at housing temperature (24h). </t>
  </si>
  <si>
    <t xml:space="preserve">Data calculated from the raw data. Data for fluctuating treatments were not included because they were not directly comparable (both the mean and the variability varied between treatments). Body length was calculated from the raw data (body length at Age 7 = 54 dph, which was the closest to to when the CTmax was measured) and averaged between treatment groups. </t>
  </si>
  <si>
    <t>049_Schaefer_Ryan_2006_Fig2</t>
  </si>
  <si>
    <t>Schaefer_and_Ryan_2006</t>
  </si>
  <si>
    <t>Developmental plasticity in the thermal tolerance of zebrafish Danio rerio</t>
  </si>
  <si>
    <t>10.1111/j.1095-8649.2006.01145.x</t>
  </si>
  <si>
    <t>Schaefer, J., and A. Ryan. "Developmental plasticity in the thermal tolerance of zebrafish Danio rerio." Journal of fish biology 69, no. 3 (2006): 722-734.</t>
  </si>
  <si>
    <t>OS</t>
  </si>
  <si>
    <t>Mobility was taken as "mobile" because the incubation spanned both mobile and immobile life stages. Time_common_temp was taken as the average of the range presented (13-15 days). Animals who were first incubated at 24C were acclimated for longer than the animals incubated to 28C; hence why "incubation_independent" was taken as "no". acc_duration was not reported because the time to hatching was not reported.</t>
  </si>
  <si>
    <t xml:space="preserve">Data calculated from the raw data. Data from the fluctuating regimes were not included because they were not comparable (same mean, but different variabilities). </t>
  </si>
  <si>
    <t>Mobility was taken as "mobile" because the incubation spanned both mobile and immobile life stages. Time_common_temp was taken as the average of the range presented (13-15 days). Animals who were first incubated at 28C were acclimated for longer than the animals incubated to 24C; hence why "incubation_independent" was taken as "no". acc_duration was not reported because the time to hatching was not reported.</t>
  </si>
  <si>
    <t>Mobility was taken as "mobile" because the incubation spanned both mobile and immobile life stages. Time_common_temp was taken as the average of the range presented (13-15 days). acc_duration was not reported because the time to hatching was not reported.</t>
  </si>
  <si>
    <t xml:space="preserve">Treatments re-used in stepwise comparisons. The same individuals were used for measuring heat movement threshold and heat coma temperature, hence the shared cohort_IDs. Nine different clones were used in this experiment, which were considered different populations because they were collected in different sites, or were different genetic types (see table 2). </t>
  </si>
  <si>
    <t>Alford_2010.xlsx</t>
  </si>
  <si>
    <t>Alford_2010</t>
  </si>
  <si>
    <t>The thermal macrophysiology of core and marginal
populations of the aphid Myzus persicae in Europe</t>
  </si>
  <si>
    <t>Alford, Lucy. "The thermal macrophysiology of core and marginal populations of the aphid Myzus persicae in Europe." PhD diss., University of Birmingham, 2010.</t>
  </si>
  <si>
    <t>Myzus</t>
  </si>
  <si>
    <t>persicae</t>
  </si>
  <si>
    <t>Myzus persicae</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</si>
  <si>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</si>
  <si>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Data calculated from the raw data (obtained from the author).</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</si>
  <si>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</si>
  <si>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</si>
  <si>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</si>
  <si>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</si>
  <si>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</si>
  <si>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</si>
  <si>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</si>
  <si>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</si>
  <si>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</si>
  <si>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</si>
  <si>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</si>
  <si>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</si>
  <si>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</si>
  <si>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</si>
  <si>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</si>
  <si>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</si>
  <si>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</si>
  <si>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</si>
  <si>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</si>
  <si>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</si>
  <si>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</si>
  <si>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</si>
  <si>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</si>
  <si>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Swed-3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</si>
  <si>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Swed-3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</si>
  <si>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Swed-3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</si>
  <si>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050_Shinner_2020_Fig1A</t>
  </si>
  <si>
    <t>Shinner_et_al_2020</t>
  </si>
  <si>
    <t>Across‐stage consequences of thermal stress have trait‐specific effects and limited fitness costs in the harlequin ladybird, Harmonia axyridis</t>
  </si>
  <si>
    <t>Evolutionary Ecology</t>
  </si>
  <si>
    <t>https://doi.org/10.1007/s10682-020-10045-1</t>
  </si>
  <si>
    <t>Shinner, Rebecca, John S. Terblanche, and Susana Clusella-Trullas. "Across-stage consequences of thermal stress have trait-specific effects and limited fitness costs in the harlequin ladybird, Harmonia axyridis." Evolutionary Ecology 34, no. 4 (2020): 555-572.</t>
  </si>
  <si>
    <t>Harmonia</t>
  </si>
  <si>
    <t>axyridis</t>
  </si>
  <si>
    <t>Harmonia axyridis</t>
  </si>
  <si>
    <t>Animals were raised from third larval instar to pupation at different treatments and then brought back to the housing temperature as adults. The age_tested and time_common_temp were taken as the mean of the range presented (18-25 days). Body mass was digitised from figure S3 and taken as the mean of the two treatments compared. Endpoint was "the temperature at which animals lost coordination and were unable to grab and/or cling to a fine paintbrush"</t>
  </si>
  <si>
    <t>Different egg masses (clutches) were taken as different families. All clutches from the same species were considered the same population.</t>
  </si>
  <si>
    <t>Simon_et_al_2015.csv</t>
  </si>
  <si>
    <t>Simon_et_al_2015</t>
  </si>
  <si>
    <t>Upper thermal tolerance plasticity in tropical amphibian species from contrasting habitats: Implications for warming impact prediction</t>
  </si>
  <si>
    <t>http://dx.doi.org/10.1016/j.jtherbio.2014.12.008</t>
  </si>
  <si>
    <t>Simon, Monique Nouailhetas, Pedro Leite Ribeiro, and Carlos Arturo Navas. "Upper thermal tolerance plasticity in tropical amphibian species from contrasting habitats: implications for warming impact prediction." Journal of thermal biology 48 (2015): 36-44.</t>
  </si>
  <si>
    <t>Hypsiboas</t>
  </si>
  <si>
    <t>faber</t>
  </si>
  <si>
    <t>Hypsiboas faber</t>
  </si>
  <si>
    <t>Data for clutch 6.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</si>
  <si>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7.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</si>
  <si>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8.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</si>
  <si>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9.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</si>
  <si>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Pleurodema</t>
  </si>
  <si>
    <t>diplolistris</t>
  </si>
  <si>
    <t>Pleurodema diplolistris</t>
  </si>
  <si>
    <t>Data for clutch 14.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</si>
  <si>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15.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</si>
  <si>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Standard deviation calculated as 0 so it was assigned as "NA".</t>
  </si>
  <si>
    <t>Data for clutch 16.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</si>
  <si>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17.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</si>
  <si>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18.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</si>
  <si>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Physalaemus</t>
  </si>
  <si>
    <t>cuvieri</t>
  </si>
  <si>
    <t>Physalaemus cuvieri</t>
  </si>
  <si>
    <t>Data for clutch 4.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</si>
  <si>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5.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</si>
  <si>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granulosa</t>
  </si>
  <si>
    <t>Rhinella granulosa</t>
  </si>
  <si>
    <t>Data for clutch 10.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</si>
  <si>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icterica</t>
  </si>
  <si>
    <t>Rhinella icterica</t>
  </si>
  <si>
    <t>Data for clutch 1.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</si>
  <si>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2.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</si>
  <si>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ornata</t>
  </si>
  <si>
    <t>Rhinella ornata</t>
  </si>
  <si>
    <t>Data for clutch 3.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</si>
  <si>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051_Slotsbo_2016_Fig2</t>
  </si>
  <si>
    <t>Slotsbo_et_al_2016</t>
  </si>
  <si>
    <t>Reversibility of developmental heat and cold plasticity is asymmetric and has long-lasting consequences for adult thermal tolerance</t>
  </si>
  <si>
    <t>10.1242/jeb.143750</t>
  </si>
  <si>
    <t>Slotsbo, Stine, Mads F. Schou, Torsten N. Kristensen, Volker Loeschcke, and Jesper G. Sørensen. "Reversibility of developmental heat and cold plasticity is asymmetric and has long-lasting consequences for adult thermal tolerance." Journal of Experimental Biology 219, no. 17 (2016): 2726-2732.</t>
  </si>
  <si>
    <t>Treatments were acclimated for different durations. Medians were presented</t>
  </si>
  <si>
    <t>Data for adults acclimated to 15C for 3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</si>
  <si>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digitised from figure. The data presented were medians and not means. Raw data was presented in the supplement, but in PDF format (unusable).</t>
  </si>
  <si>
    <t>Data for adults acclimated to 15C for 6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</si>
  <si>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12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</si>
  <si>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24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</si>
  <si>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</si>
  <si>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</si>
  <si>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</si>
  <si>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</si>
  <si>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</si>
  <si>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</si>
  <si>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</si>
  <si>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</si>
  <si>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</si>
  <si>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</si>
  <si>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</si>
  <si>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</si>
  <si>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25C for 3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</si>
  <si>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6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</si>
  <si>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12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</si>
  <si>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24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</si>
  <si>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</si>
  <si>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</si>
  <si>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</si>
  <si>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</si>
  <si>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</si>
  <si>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</si>
  <si>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</si>
  <si>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</si>
  <si>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</si>
  <si>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</si>
  <si>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</si>
  <si>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</si>
  <si>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 xml:space="preserve">Data digitised from figure. The data presented were medians and not means. Raw data was presented in the supplement, but in PDF format (unusable). The sd of the animals incubated at 25C was calculated using the CI95_to_sd function from metaDigitise as the confidence intervals were only presented in the figure legend. </t>
  </si>
  <si>
    <t>http://doi.org/10.25903/5d01d448c3756</t>
  </si>
  <si>
    <t>Spinks_et_al_2019</t>
  </si>
  <si>
    <t>Developmental effects of heatwave conditions on the early life stages of a coral reef fish</t>
  </si>
  <si>
    <t>10.1242/jeb.202713</t>
  </si>
  <si>
    <t>Spinks, Rachel K., Philip L. Munday, and Jennifer M. Donelson. "Developmental effects of heatwave conditions on the early life stages of a coral reef fish." Journal of Experimental Biology 222, no. 16 (2019).</t>
  </si>
  <si>
    <t xml:space="preserve">The time at common temperature was taken as the age of mean age of the animals when tested for CTmax (109 to 117 dph) - acc_duration. Animals acclimated to 28.5C were acclimated for longer than animals acclimated to 30.5C because the former was the housing_temp. Geographical coordinates were not taken because animals were collected in two different sites separated by &gt;2 degrees of latitude. Season was taken as "winter' because animals were collected in July in Australia. Body mass and body length (standard length) were averaged between treatments. </t>
  </si>
  <si>
    <t xml:space="preserve">Data calculated from the raw data. Sample sizes were not sufficient to subset data per family. </t>
  </si>
  <si>
    <t xml:space="preserve">Animals acclimated to 28.5C were acclimated for longer than animals acclimated to 30.5C because the former was the housing_temp. Geographical coordinates were not taken because animals were collected in two different sites separated by &gt;2 degrees of latitude. Season was taken as "winter' because animals were collected in July in Australia. Body mass and body length (standard length) were averaged between treatments. </t>
  </si>
  <si>
    <t xml:space="preserve">Treatments were re-used in stepwise comparisons. Three different populations were used in this study. </t>
  </si>
  <si>
    <t>Fig2.2</t>
  </si>
  <si>
    <t>052_Stitt_2012_Fig2.2</t>
  </si>
  <si>
    <t>Stitt_2012</t>
  </si>
  <si>
    <t>Brook Trout (Salvelinus Fontinalis) Thermal Adaptive Potential: Physiological Implications for Climate Change</t>
  </si>
  <si>
    <t>Stitt, Bradley Creighton. Brook Trout (Salvelinus Fontinalis) Thermal Adaptive Potential: Physiological Implications for Climate Change. 2012.</t>
  </si>
  <si>
    <t>fontinalis</t>
  </si>
  <si>
    <t>Salvelinus fontinalis</t>
  </si>
  <si>
    <t>Data for the Lake Nipigon strain. Mean acclimation temperatures were taken from Tab. 2.2. Body mass and body length (fork length) were averaged between acclimation treatments using data from Tab. 2.3</t>
  </si>
  <si>
    <t>Data digitised from figure. The sample sizes were taken as ten because 56 individuals per strain per tank (2 tanks) were used.</t>
  </si>
  <si>
    <t>Data for the Lake Nipigon strain. Mean acclimation temperatures were taken from Tab. 2.2. Body mass and body length (fork length) were averaged between acclimation treatments using data from Tab. 2.4</t>
  </si>
  <si>
    <t>Data for the Lake Nipigon strain. Mean acclimation temperatures were taken from Tab. 2.2. Body mass and body length (fork length) were averaged between acclimation treatments using data from Tab. 2.5</t>
  </si>
  <si>
    <t>Data for the Hill's Lake strain. Mean acclimation temperatures were taken from Tab. 2.2. Body mass and body length (fork length) were averaged between acclimation treatments using data from Tab. 2.5</t>
  </si>
  <si>
    <t>Data for the Dickson Lake strain. Mean acclimation temperatures were taken from Tab. 2.2. Body mass and body length (fork length) were averaged between acclimation treatments using data from Tab. 2.5</t>
  </si>
  <si>
    <t>Tatum_2018</t>
  </si>
  <si>
    <t>Thermal tolerance determination of the red-eared slider, Trachemys scripta elegans</t>
  </si>
  <si>
    <t>Tatum, Abigail. "Thermal tolerance determination of the red-eared slider, Trachemys scripta elegans". MSc diss., 2018.</t>
  </si>
  <si>
    <t>commercial_supplier</t>
  </si>
  <si>
    <t xml:space="preserve">Was considered "aquatic" because they manipulated the water temperature. Body mass and body length (carapace length) were taken from table 1. </t>
  </si>
  <si>
    <t>Terblanche_and_Chown_2006.csv</t>
  </si>
  <si>
    <t>Terblanche_and_Chown_2006</t>
  </si>
  <si>
    <t>The relative contributions of developmental plasticity and adult acclimation to physiological variation in the tsetse fly, Glossina pallidipes (Diptera, Glossinidae)</t>
  </si>
  <si>
    <t>10.1242/jeb.02129</t>
  </si>
  <si>
    <t>Terblanche, John S., and Steven L. Chown. "The relative contributions of developmental plasticity and adult acclimation to physiological variation in the tsetse fly, Glossina pallidipes (Diptera, Glossinidae)." Journal of Experimental Biology 209, no. 6 (2006): 1064-1073.</t>
  </si>
  <si>
    <t>Glossinidae</t>
  </si>
  <si>
    <t>Glossina</t>
  </si>
  <si>
    <t>pallidipes</t>
  </si>
  <si>
    <t>Glossina pallidipes</t>
  </si>
  <si>
    <t>Animals acclimated to 25C were acclimated for longer than animals acclimated to 21C because the former was the housing_temp. acc_temp_var was taken as the mean between both treatments. The time at common temperature was taken as the mean of the range presented (12-19 days)</t>
  </si>
  <si>
    <t>Animals acclimated to 25C were acclimated for longer than animals acclimated to 29C because the former was the housing_temp. acc_temp_var was taken as the mean between both treatments. The time at common temperature was taken as the mean of the range presented (12-19 days)</t>
  </si>
  <si>
    <t xml:space="preserve">Treatments were re-used in stepwise comparisons. Two populations were used in this study. </t>
  </si>
  <si>
    <t>053_Troia_2015_Fig5</t>
  </si>
  <si>
    <t>Troia_et_al_2015</t>
  </si>
  <si>
    <t>Thermal performance of larval longfin dace (Agosia chrysogaster), with implications for climate change</t>
  </si>
  <si>
    <t>10.1007/s10641-014-0270-7</t>
  </si>
  <si>
    <t>Troia, Matthew J., James E. Whitney, and Keith B. Gido. "Thermal performance of larval longfin dace (Agosia chrysogaster), with implications for climate change." Environmental biology of fishes 98, no. 1 (2015): 395-404.</t>
  </si>
  <si>
    <t>Leuciscidae</t>
  </si>
  <si>
    <t>Agosia</t>
  </si>
  <si>
    <t>chrysogaster</t>
  </si>
  <si>
    <t>Agosia chrysogaster</t>
  </si>
  <si>
    <t xml:space="preserve">Geographical coordinates were approximated from Google Earth.  Season was taken as "spring" because animals were collected in March in New Mexico (USA). </t>
  </si>
  <si>
    <t xml:space="preserve">Data digitised from figure. Sample sizes were taken as the number of distinguishable data points. </t>
  </si>
  <si>
    <t xml:space="preserve">Data for the upstream population. Geographical coordinates were approximated from Google Earth.  Season was taken as "spring" because animals were collected in March in New Mexico (USA). </t>
  </si>
  <si>
    <t xml:space="preserve">Data for the downstream population. Geographical coordinates were approximated from Google Earth.  Season was taken as "spring" because animals were collected in March in New Mexico (USA). </t>
  </si>
  <si>
    <t xml:space="preserve">Treatments were re-used in stepwise comparisons. The same animals were used to measure the LOE and the death temperatures, hence the shared cohort_IDs. </t>
  </si>
  <si>
    <t>Tsuchida_and_Setoguma_1997</t>
  </si>
  <si>
    <t>Temperature Responses of Young Schlegel's Black Rockfish Sebastes schlegeli</t>
  </si>
  <si>
    <t>Nippon Suisan Gakkaishi</t>
  </si>
  <si>
    <t>Tsuchida, Shuji, and Takumi Setoguma. "Temperature responses of young Schlegel's black rockfish Sebastes schlegeli." Nippon Suisan Gakkaishi 63, no. 3 (1997): 317-325.</t>
  </si>
  <si>
    <t>Scorpaeniformes</t>
  </si>
  <si>
    <t>Sebastidae</t>
  </si>
  <si>
    <t>Sebastes</t>
  </si>
  <si>
    <t>schlegeli</t>
  </si>
  <si>
    <t>Sebastes schlegeli</t>
  </si>
  <si>
    <t>Standard deviation was reported as 0 so it was assigned as "NA"</t>
  </si>
  <si>
    <t xml:space="preserve">Study was published in Japanese. deepl.com/translator was used to translate the text to English. </t>
  </si>
  <si>
    <t xml:space="preserve">Study was published in Japanese. deepl.com/translator was used to translate the text to English. N_test_temp was taken as the number of temperatures used to infer the thermal death time curves. </t>
  </si>
  <si>
    <t xml:space="preserve">Time to death at different temperatures taken from Table 2. Data calculated by fitting a linear regression of log10(time to death) against the test temperatures according to Jorgensen et al. 2018,2021 and Rezende et al. 2014. The CTmax was estimated as the temperatures animals cannot withstand for longer than 60 minutes. The sample size was taken as the n_test_temp * n_replicates_per_temp. The LT50 was technically possible to calculate but the standard error calculated from logistic regressions were so large that the data is probably not accurate. </t>
  </si>
  <si>
    <t xml:space="preserve">All animals were collected in the same site so the same population_ID was assigned to all individuals of the same species. However, different family_IDs was assigned because animals in one condition were exposed to laboratory conditions for longer and were selected during a heat wave. </t>
  </si>
  <si>
    <t>054_Vanvelk_2021_Fig2A</t>
  </si>
  <si>
    <t>Vanvelk_et_al_2021</t>
  </si>
  <si>
    <t>Interspecific differences, plastic, and evolutionary responses to a heat wave in three co-occurring Daphnia species</t>
  </si>
  <si>
    <t>Limnology and Oceanography</t>
  </si>
  <si>
    <t>10.1002/lno.11675</t>
  </si>
  <si>
    <t>Vanvelk, Héléne, Lynn Govaert, Edwin M. Van den Berg, Kristien I. Brans, and Luc De Meester. "Interspecific differences, plastic, and evolutionary responses to a heat wave in three co‐occurring Daphnia species." Limnology and Oceanography 66, no. 4 (2021): 1201-1220.</t>
  </si>
  <si>
    <t>Branchiopoda</t>
  </si>
  <si>
    <t>Cladocera</t>
  </si>
  <si>
    <t>Daphniidae</t>
  </si>
  <si>
    <t>Daphnia</t>
  </si>
  <si>
    <t>magna</t>
  </si>
  <si>
    <t>Daphnia magna</t>
  </si>
  <si>
    <t>Elevation estimated using https://latlongdata.com/elevation/. Season was taken as "spring" because animals were collected in April-May in Belgium. Animals acclimated to 20C were acclimated for longer than animals acclimated to 26C because the former was the housing_temp. CTmax was measured "upon reaching sexual maturity". Endpoint was the "loss of motor function", which was considered analogous to LRR. Body length was digitised from figure 2B. Age at maturity (acc_duration) was digitised from figure 2E.</t>
  </si>
  <si>
    <t>pulicaria</t>
  </si>
  <si>
    <t>Daphnia pulicaria</t>
  </si>
  <si>
    <t>Elevation estimated using https://latlongdata.com/elevation/. Season was taken as "spring" because animals were collected in April-May in Belgium. Animals acclimated to 20C were acclimated for longer than animals acclimated to 26C because the former was the housing_temp. CTmax was measured "upon reaching sexual maturity". Endpoint was the "loss of motor function", which was considered analogous to LRR.</t>
  </si>
  <si>
    <t>galeata</t>
  </si>
  <si>
    <t>Daphnia galeata</t>
  </si>
  <si>
    <t xml:space="preserve">Animals were selected after a heat wave. Treatments were acclimated for different durations. </t>
  </si>
  <si>
    <t>Animals experienced a heat wave, which induced a selection for the most heat tolerant animals. Elevation estimated using https://latlongdata.com/elevation/. Season was taken as "spring" because animals were collected in April-May in Belgium. Animals acclimated to 20C were acclimated for longer than animals acclimated to 26C because the former was the housing_temp. CTmax was measured "upon reaching sexual maturity". Endpoint was the "loss of motor function", which was considered analogous to LRR.</t>
  </si>
  <si>
    <t xml:space="preserve">The same individuals were used for measuring LOE and OS, hence the shared cohort_IDs. The different broodstocks were originally collected in different sites and were hence assigned different population- and family_IDs. </t>
  </si>
  <si>
    <t>Wagner_et_al_2001</t>
  </si>
  <si>
    <t>Comparative tolerance of four stocks of cutthroat trout to extremes in temperature, salinity, and hypoxia</t>
  </si>
  <si>
    <t>https://www.jstor.org/stable/41717140</t>
  </si>
  <si>
    <t>Wagner, Eric J., Ronney E. Arndt, and Mark Brough. "Comparative tolerance of four stocks of cutthroat trout to extremes in temperature, salinity, and hypoxia." Western North American Naturalist (2001): 434-444.</t>
  </si>
  <si>
    <t>clarkii</t>
  </si>
  <si>
    <t>Oncorhynchus clarkii</t>
  </si>
  <si>
    <t xml:space="preserve">Data for the "Bear Lake Bonneville"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</si>
  <si>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Data for the "southern Bonneville from Manning Meadow Reservoir"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</si>
  <si>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Data for the "fine-spotted Snake River"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</si>
  <si>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Data for the "Electric Lake"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</si>
  <si>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The different broodstocks were originally collected in different sites and were hence assigned different population- and family_IDs. </t>
  </si>
  <si>
    <t xml:space="preserve">Data for the "Bear Lake Bonneville"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(4.9-23.7g). The mean number of test temperatures (3 to 5) was taken. The mean n_replicates_per_temp (2 to 3) was taken. </t>
  </si>
  <si>
    <t>We were unable to estimate LT50 for the BV population. Sample sizes were taken as the number of test temperatures * the number of replicate test temperatures. I fitted a logistic regression and used the dose.p() function from 'MASS' to calculate LT50. The standard error is provided instead of SD.</t>
  </si>
  <si>
    <t xml:space="preserve">Data for the "fine-spotted Snake River"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(2.4-19.8g). The mean number of test temperatures (3 to 5) was taken. The mean n_replicates_per_temp (2 to 3) was taken. </t>
  </si>
  <si>
    <t xml:space="preserve">Data for the "Electric Lake"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(4.5-17.6g). The mean number of test temperatures (3 to 5) was taken. The mean n_replicates_per_temp (2 to 3) was taken. </t>
  </si>
  <si>
    <t>055_Wang_2013_Fig5</t>
  </si>
  <si>
    <t>Wang_et_al_2013</t>
  </si>
  <si>
    <t>Effects of rearing temperature on growth, metabolism and thermal tolerance of juvenile sea cucumber, Apostichopus japonicus Selenka: critical thermal maximum (CTmax) and hsps gene expression</t>
  </si>
  <si>
    <t>10.1111/j.1365-2109.2012.03162.x</t>
  </si>
  <si>
    <t>Wang, Qing‐Lin, Yun‐Wei Dong, Chuan‐Xin Qin, Shan‐Shan Yu, Shuang‐Lin Dong, and Fang Wang. "Effects of rearing temperature on growth, metabolism and thermal tolerance of juvenile sea cucumber, A postichopus japonicus S elenka: critical thermal maximum (CT max) and hsps gene expression." Aquaculture Research 44, no. 10 (2013): 1550-1559.</t>
  </si>
  <si>
    <t>Echinodermata</t>
  </si>
  <si>
    <t>Holuthuroidea</t>
  </si>
  <si>
    <t>Synallactida</t>
  </si>
  <si>
    <t>Stichopodidae</t>
  </si>
  <si>
    <t>Apostichopus</t>
  </si>
  <si>
    <t>japonicus</t>
  </si>
  <si>
    <t>Apostichopus japonicus</t>
  </si>
  <si>
    <t xml:space="preserve">Salinity and pH were taken as the means of the ranges presented. Age was taken as the age of the animals when they arrived in the lab (6 months) + 2 weeks of initial housing + 40 days of acclimation + 2 weeks at a common temperature of 16C. Animals acclimated to 16C were acclimated for longer than animals acclimated to 21C because the former was the housing_temp. Body mass was digitised from figure 1 and taken and averaged between treatment groups. </t>
  </si>
  <si>
    <t xml:space="preserve">Salinity and pH were taken as the means of the ranges presented. Age was taken as the age of the animals when they arrived in the lab (6 months) + 2 weeks of initial housing + 40 days of acclimation + 2 weeks at a common temperature of 16C. Body mass was digitised from figure 1 and taken and averaged between treatment groups. </t>
  </si>
  <si>
    <t>Fig5A</t>
  </si>
  <si>
    <t>056_White_Wahl_2020_Fig5A</t>
  </si>
  <si>
    <t>White_and_Wahl_2020</t>
  </si>
  <si>
    <t>Growth and physiological responses in largemouth bass populations to environmental warming: Effects of inhabiting chronically heated environments</t>
  </si>
  <si>
    <t>https://doi.org/10.1016/j.jtherbio.2019.102467</t>
  </si>
  <si>
    <t>White, Dalon P., and David H. Wahl. "Growth and physiological responses in largemouth bass populations to environmental warming: Effects of inhabiting chronically heated environments." Journal of thermal biology 88 (2020): 102467.</t>
  </si>
  <si>
    <t>Centrarchidae</t>
  </si>
  <si>
    <t>Micropterus</t>
  </si>
  <si>
    <t>salmoides</t>
  </si>
  <si>
    <t>Micropterus salmoides</t>
  </si>
  <si>
    <t>experimental_pond</t>
  </si>
  <si>
    <t xml:space="preserve">Data for the "Ambient-F1" fish. Geographical coordinates not reported because animals were sampled in various sites. Season was taken to be "fall" because animals were collected in September in Illinois (USA). Acc_temp_var was averaged between treatments. acc_duration was taken as 30 because authors indicate that animals were exposed to "a month of acclimation". </t>
  </si>
  <si>
    <t xml:space="preserve">Data for the "Heated-F1" fish. Geographical coordinates not reported because animals were sampled in various sites. Season was taken to be "fall" because animals were collected in September in Illinois (USA). Acc_temp_var was averaged between treatments. acc_duration was taken as 30 because authors indicate that animals were exposed to "a month of acclimation". </t>
  </si>
  <si>
    <t xml:space="preserve">Data for the "Heated-Lake" fish. Geographical coordinates not reported because animals were sampled in various sites. Season was taken to be "fall" because animals were collected in September in Illinois (USA). Acc_temp_var was averaged between treatments. acc_duration was taken as 30 because authors indicate that animals were exposed to "a month of acclimation". </t>
  </si>
  <si>
    <t>057_Wu_2013_Fig1</t>
  </si>
  <si>
    <t>Wu_et_al_2013</t>
  </si>
  <si>
    <t>Effect of thermal acclimation on thermal preference, resistance and locomotor performance of hatchling soft-shelled turtle</t>
  </si>
  <si>
    <t>Current Zoology</t>
  </si>
  <si>
    <t>https://doi.org/10.1093/czoolo/59.6.718</t>
  </si>
  <si>
    <t>Wu, Mei-Xian, Ling-Jun Hu, Wei Dang, Hong-Liang Lu, and Wei-Guo Du. "Effect of thermal acclimation on thermal preference, resistance and locomotor performance of hatchling soft-shelled turtle." Current Zoology 59, no. 6 (2013): 718-724.</t>
  </si>
  <si>
    <t>Trionychidae</t>
  </si>
  <si>
    <t>Pelodiscus</t>
  </si>
  <si>
    <t>sinensis</t>
  </si>
  <si>
    <t>Pelodiscus sinensis</t>
  </si>
  <si>
    <t xml:space="preserve">acc_duration was taken as the duration of acclimation + the two weeks that separate the Tsel and CTmax experiments. Ramping rate was taken as 0.1C/min although researchers used a ramping rate of 0.3C/min until 35C (which is lower than all CTmax measured). </t>
  </si>
  <si>
    <t>058_Xu_2015_Fig1B</t>
  </si>
  <si>
    <t>Xu_et_al_2015</t>
  </si>
  <si>
    <t>Thermal preference, thermal resistance, and metabolic rate of juvenile Chinese pond turtles Mauremys reevesii acclimated to different temperatures</t>
  </si>
  <si>
    <t>http://dx.doi.org/10.1016/j.jtherbio.2015.09.003</t>
  </si>
  <si>
    <t>Xu, Wei, Wei Dang, Jun Geng, and Hong-Liang Lu. "Thermal preference, thermal resistance, and metabolic rate of juvenile Chinese pond turtles Mauremys reevesii acclimated to different temperatures." Journal of Thermal Biology 53 (2015): 119-124.</t>
  </si>
  <si>
    <t xml:space="preserve">Body mass before acclimation. </t>
  </si>
  <si>
    <t xml:space="preserve">The body masses reported were the body masses before the acclimation period, which were averaged between the two treatments compared. Ramping rate was taken as 0.1C/min although researchers used a ramping rate of 0.3C/min until 35C (which is lower than all CTmax measured). </t>
  </si>
  <si>
    <t>Xue_and_Ma_2020.csv</t>
  </si>
  <si>
    <t>Xue_and_Ma_2020</t>
  </si>
  <si>
    <t>Aged virgin adults respond to extreme heat events with phenotypic plasticity in an invasive species, Drosophila suzukii</t>
  </si>
  <si>
    <t>https://doi.org/10.1016/j.jinsphys.2020.104016</t>
  </si>
  <si>
    <t>Xue, Qi, and Chun-Sen Ma. "Aged virgin adults respond to extreme heat events with phenotypic plasticity in an invasive species, Drosophila suzukii." Journal of insect physiology 121 (2020): 104016.</t>
  </si>
  <si>
    <t>suzukii</t>
  </si>
  <si>
    <t>Drosophila suzukii</t>
  </si>
  <si>
    <t xml:space="preserve">Data for 5 day-old virgin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</si>
  <si>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5 day-old mated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</si>
  <si>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virgin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</si>
  <si>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mated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</si>
  <si>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virgin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</si>
  <si>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mated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</si>
  <si>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5 day-old virgin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</si>
  <si>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5 day-old mated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</si>
  <si>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virgin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</si>
  <si>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mated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</si>
  <si>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virgin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</si>
  <si>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mated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</si>
  <si>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059_Yoon_2019_Fig5</t>
  </si>
  <si>
    <t>Yoon_et_al_2019</t>
  </si>
  <si>
    <t>Influence of a dynamic rearing environment on development of metabolic phenotypes in age-0 Lake Sturgeon, Acipenser fulvescens</t>
  </si>
  <si>
    <t>10.1093/conphys/coz055</t>
  </si>
  <si>
    <t>Yoon, Gwangseok R., David Deslauriers, and W. Gary Anderson. "Influence of a dynamic rearing environment on development of metabolic phenotypes in age-0 Lake Sturgeon, Acipenser fulvescens." Conservation physiology 7, no. 1 (2019): coz055.</t>
  </si>
  <si>
    <t>Data with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t>
  </si>
  <si>
    <t xml:space="preserve">Data digitised from figure. Sample size was unclear but Table S3 indicate that comparisons between CTmax at 55dph and 272 dph have a df of 15. Therefore, half of the sample size was allocated to 7 in each treatment. </t>
  </si>
  <si>
    <t>Data without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t>
  </si>
  <si>
    <t>Data with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 The common_temperature is not reported because it was highly fluctuating. Body mass and body length were averaged between treatments and taken from table 1.</t>
  </si>
  <si>
    <t>Data without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 The common_temperature is not reported because it was highly fluctuating. Body mass and body length were averaged between treatments and taken from table 1.</t>
  </si>
  <si>
    <t>060_Zhou_2019_Fig1A</t>
  </si>
  <si>
    <t>Zhou_et_al_2019</t>
  </si>
  <si>
    <t>Effects of acclimation temperature on the thermal tolerance, hypoxia tolerance and swimming performance of two endangered fish species in China</t>
  </si>
  <si>
    <t>https://doi.org/10.1007/s00360-018-01201-9</t>
  </si>
  <si>
    <t>Zhou, Long-Yan, Shi-Jian Fu, Cheng Fu, Hong Ling, and Xiu-Ming Li. "Effects of acclimation temperature on the thermal tolerance, hypoxia tolerance and swimming performance of two endangered fish species in China." Journal of Comparative Physiology B 189, no. 2 (2019): 237-247.</t>
  </si>
  <si>
    <t>Catostomidae</t>
  </si>
  <si>
    <t>Myxocyprinus asiaticus</t>
  </si>
  <si>
    <t>asiaticus</t>
  </si>
  <si>
    <t>Body mass and body length were averaged between treatments (see table 1).</t>
  </si>
  <si>
    <t>Procypris rabaudi</t>
  </si>
  <si>
    <t>rabaudi</t>
  </si>
  <si>
    <t xml:space="preserve">Three different mothers (i.e. families) were used in this study. Treatments were re-used in stepwise comparisons. </t>
  </si>
  <si>
    <t>Fig2.11</t>
  </si>
  <si>
    <t>061_Cheung_2019_Fig2.11A, 061_Cheung_2019_Fig2.11B, 061_Cheung_2019_Fig2.11C</t>
  </si>
  <si>
    <t>Cheung_2019</t>
  </si>
  <si>
    <t>The effects of embryonic incubation temperature on subsequent development, growth, and thermal tolerance through early ontogeny of white sturgeon</t>
  </si>
  <si>
    <t>Cheung, Katherine. "The effects of embryonic incubation temperature on subsequent development, growth, and thermal tolerance through early ontogeny of white sturgeon." PhD diss., University of British Columbia, 2019.</t>
  </si>
  <si>
    <t>transmontanus</t>
  </si>
  <si>
    <t>Acipenser transmontanus</t>
  </si>
  <si>
    <t>Data for animals originating from "female 2522". Acc_temp_var and ramping were taken as the means of the ranges presented. Endpoint was the "lack of motor response following 3 consecutive tail prods". Animals incubated at 15C were acclimated for longer because 15C was the common temperature at which animals were brought to; hence why "incubation_independent" was taken as "no".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</si>
  <si>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Data for animals originating from "female 3622". Acc_temp_var and ramping were taken as the means of the ranges presented. Endpoint was the "lack of motor response following 3 consecutive tail prods". Animals incubated at 15C were acclimated for longer because 15C was the common temperature at which animals were brought to; hence why "incubation_independent" was taken as "no".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</si>
  <si>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 xml:space="preserve">Three different mothers (i.e. families) were used in this study. </t>
  </si>
  <si>
    <t>Data for animals originating from "female 3622". Acc_temp_var and ramping were taken as the means of the ranges presented. Endpoint was the "lack of motor response following 3 consecutive tail prods".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</si>
  <si>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Data for animals originating from "female 5903". Acc_temp_var and ramping were taken as the means of the ranges presented. Endpoint was the "lack of motor response following 3 consecutive tail prods". Animals incubated at 15C were acclimated for longer because 15C was the common temperature at which animals were brought to; hence why "incubation_independent" was taken as "no".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</si>
  <si>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 xml:space="preserve">The clones (populations) used were the same as in Alford_2010 (study_ID 3). We also considered the animals to be from the same "family" as in study_ID 3. Treatments were re-used in stepwise comparisons. </t>
  </si>
  <si>
    <t>Alford_et_al_2012</t>
  </si>
  <si>
    <t>Effect of latitude and acclimation on the lethal temperatures of the peach-potato aphid Myzus persicae</t>
  </si>
  <si>
    <t>10.1111/j.1461-9563.2011.00553.x</t>
  </si>
  <si>
    <t>Alford, Lucy, Tim M. Blackburn, and Jeffrey S. Bale. "Effect of latitude and acclimation on the lethal temperatures of the peach‐potato aphid Myzus persicae." Agricultural and Forest Entomology 14, no. 1 (2012): 69-79.</t>
  </si>
  <si>
    <t>Very short set_time at the test temperatures.</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</si>
  <si>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</si>
  <si>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taken from table. Sample sizes were taken as the number of test temperatures * the number of replicate test temperatures. Confidence intervals were converted to SD by dividing the confidence intervals by 1.96. SE is reported instead of SD.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</si>
  <si>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</si>
  <si>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</si>
  <si>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</si>
  <si>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</si>
  <si>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</si>
  <si>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</si>
  <si>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</si>
  <si>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Archambault_et_al_2014a</t>
  </si>
  <si>
    <t>Survival and behaviour of juvenile unionid mussels exposed to thermal stress and dewatering in the presence of a sediment temperature gradient</t>
  </si>
  <si>
    <t>10.1111/fwb.12290</t>
  </si>
  <si>
    <t>Archambault, Jennifer M., W. Gregory Cope, and Thomas J. Kwak. "Survival and behaviour of juvenile unionid mussels exposed to thermal stress and dewatering in the presence of a sediment temperature gradient." Freshwater Biology 59, no. 3 (2014): 601-613.</t>
  </si>
  <si>
    <t>Mollusca</t>
  </si>
  <si>
    <t>Bivalvia</t>
  </si>
  <si>
    <t>Unionida</t>
  </si>
  <si>
    <t>Unionidae</t>
  </si>
  <si>
    <t>Lampsilis</t>
  </si>
  <si>
    <t>abrupta</t>
  </si>
  <si>
    <t>Lampsilis abrupta</t>
  </si>
  <si>
    <t>Mobility was taken as "immobile" because the mobility of mussels is quite limited. Age was taken as the mean of the range presented (12 - 17 months). Acc_duration was taken as 1 day because authors used "a standard minimum 24-h acclimation period once the target temperature was attained".</t>
  </si>
  <si>
    <t>radiata</t>
  </si>
  <si>
    <t>Lampsilis radiata</t>
  </si>
  <si>
    <t xml:space="preserve">L. abrupta individuals were considered the same population and family as in Archambault_et_al_2014a (study_ID 123). </t>
  </si>
  <si>
    <t>Archambault_et_al_2014b</t>
  </si>
  <si>
    <t>Influence of sediment presence on freshwater mussel thermal tolerance</t>
  </si>
  <si>
    <t>Freshwater Science</t>
  </si>
  <si>
    <t>10.1086/674141</t>
  </si>
  <si>
    <t>Archambault, Jennifer M., W. Gregory Cope, and Thomas J. Kwak. "Influence of sediment presence on freshwater mussel thermal tolerance." Freshwater Science 33, no. 1 (2014): 56-65.</t>
  </si>
  <si>
    <t>Animals in the "water-only" condition. Mobility was taken as "immobile" because the mobility of mussels is quite limited. Age_tested was taken as 7 days although authors indicate that animals "were &lt;1 wk" old. Acc_duration was taken as 1 day because authors used "a standard 24-h holding period once the target temperature was attained".</t>
  </si>
  <si>
    <t xml:space="preserve">Data taken from table. Sample sizes were taken as the number of test temperatures * the number of replicate test temperatures. Confidence intervals were converted to SD by dividing the confidence intervals by 1.96. SE is reported instead of SD. We did not include data on glochidia because the animals were only acclimated for 2 hours, which did not fit our inclusion criteria (&gt;24 hour acclimation). </t>
  </si>
  <si>
    <t>Animals in the "dewatered" condition. Age_tested was taken as the mean of the range presented (3 to 5 months old).  Mobility was taken as "immobile" because the mobility of mussels is quite limited. Acc_duration was taken as 1 day because authors used "a standard 24-h holding period once the target temperature was attained".</t>
  </si>
  <si>
    <t>cariosa</t>
  </si>
  <si>
    <t>Lampsilis cariosa</t>
  </si>
  <si>
    <t>Animals in the "water-only" condition.  Mobility was taken as "immobile" because the mobility of mussels is quite limited. Age_tested was taken as the mean of the range presented (4 to 6 weeks old). Acc_duration was taken as 1 day because authors used "a standard 24-h holding period once the target temperature was attained".</t>
  </si>
  <si>
    <t>siliquoidea</t>
  </si>
  <si>
    <t>Lampsilis siliquoidea</t>
  </si>
  <si>
    <t>Animals in the "watered" condition. Age_tested was taken as the mean of the range presented (3 to 5 months old).  Mobility was taken as "immobile" because the mobility of mussels is quite limited. Acc_duration was taken as 1 day because authors used "a standard 24-h holding period once the target temperature was attained".</t>
  </si>
  <si>
    <t>Amblema</t>
  </si>
  <si>
    <t>plicata</t>
  </si>
  <si>
    <t>Amblema plicata</t>
  </si>
  <si>
    <t>Animals in the "water-only" condition. Mobility was taken as "immobile" because the mobility of mussels is quite limited. Age_tested was taken as the mean of the range presented (4 to 6 weeks old). Acc_duration was taken as 1 day because authors used "a standard 24-h holding period once the target temperature was attained".</t>
  </si>
  <si>
    <t xml:space="preserve">Different "races" were used in this study. All animals collected in the north basin (NBAS and NBSS) were considered the same population, but different family IDs were assigned depending on the time adults were sampled (autumn or spring spawners). Treatments were re-used in stepwise comparisons. </t>
  </si>
  <si>
    <t>Baroudy_and_Elliott_1994</t>
  </si>
  <si>
    <t>The critical thermal limits for juvenile Arctic charr Salvelinus alpinus</t>
  </si>
  <si>
    <t>https://doi.org/10.1111/j.1095-8649.1994.tb01071.x</t>
  </si>
  <si>
    <t>Baroudy, E., and J. M. Elliott. "The critical thermal limits for juvenile Arctic charr Salvelinus alpinus." Journal of Fish Biology 45, no. 6 (1994): 1041-1053.</t>
  </si>
  <si>
    <t>Data for the "NBAS" alevins.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</si>
  <si>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taken from table. Confidence intervals were converted to SD using the CI95_to_sd function from metaDigitise. </t>
  </si>
  <si>
    <t xml:space="preserve">Data for the "NBAS"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</si>
  <si>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"NBAS"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t>
  </si>
  <si>
    <t>Data for the "NBAS"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</si>
  <si>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"NBAS"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</si>
  <si>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"NBAS"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</si>
  <si>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"NBAS"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</si>
  <si>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autumm</t>
  </si>
  <si>
    <t>Data for the "NBAS"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t>
  </si>
  <si>
    <t>Data for the "NBSS"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</si>
  <si>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"NBSS"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</si>
  <si>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</si>
  <si>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</si>
  <si>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</si>
  <si>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</si>
  <si>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</si>
  <si>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</si>
  <si>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"SBSS"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</si>
  <si>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"SBSS"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</si>
  <si>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Elliott's hybrid methodology.</t>
  </si>
  <si>
    <t>Data for the "NBAS"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</si>
  <si>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"NBAS"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</si>
  <si>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Elliott's hybrid methodology. SD missing.</t>
  </si>
  <si>
    <t>Data for the "NBAS"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</si>
  <si>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taken from table. Confidence intervals were converted to SD using the CI95_to_sd function from metaDigitise. Confidence interval for the group acclimated to 10C was reported as "0". </t>
  </si>
  <si>
    <t xml:space="preserve">Data for the "NBAS"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</si>
  <si>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"NBAS"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</si>
  <si>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"NBAS"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</si>
  <si>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</si>
  <si>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"SBAS"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</si>
  <si>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</si>
  <si>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"SBAS"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</si>
  <si>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</si>
  <si>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"SBAS"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</si>
  <si>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"SBSS"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</si>
  <si>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taken from table. Confidence intervals were converted to SD using the CI95_to_sd function from metaDigitise. Confidence interval for the group acclimated to 20C was reported as "0". </t>
  </si>
  <si>
    <t>Benedict_et_al_1991</t>
  </si>
  <si>
    <t>Heat-shock mortality and induced thermotolerance in larvae of the mosquito Anopheles albimanus</t>
  </si>
  <si>
    <t>Journal of the American Mosquito Control Association</t>
  </si>
  <si>
    <t>Benedict, MARK Q., ANDREW F. Cockburn, and J. A. Seawright. "Heatshock mortality and induced thermotolerance in larvae of the mosquito Anopheles albimanus." Journal of the American Mosquito Control Association 7, no. 4 (1991): 547-550.</t>
  </si>
  <si>
    <t>Culicidae</t>
  </si>
  <si>
    <t>Anopheles</t>
  </si>
  <si>
    <t>albimanus</t>
  </si>
  <si>
    <t>Anopheles albimanus</t>
  </si>
  <si>
    <t>n_test_temp was different between the two acclimation treatments so the median n_test_temp was taken.  acc_duration not reported.</t>
  </si>
  <si>
    <t xml:space="preserve">Data taken from table. I fitted a logistic regression and use the dose.p() function from 'MASS' to calculate LT50. Sample sizes were taken as the number of test temperatures * the number of replicate test temperatures. SE is reported instead of SD. </t>
  </si>
  <si>
    <t>Gray_2013.xlsx</t>
  </si>
  <si>
    <t>Gray_2013</t>
  </si>
  <si>
    <t>Thermal acclimation in a complex life cycle: The effects of larval and adult thermal conditions on metabolic rate and heat resistance in Culex pipiens (Diptera: Culicidae)</t>
  </si>
  <si>
    <t>http://dx.doi.org/10.1016/j.jinsphys.2013.08.001</t>
  </si>
  <si>
    <t>Gray, Emilie M. "Thermal acclimation in a complex life cycle: the effects of larval and adult thermal conditions on metabolic rate and heat resistance in Culex pipiens (Diptera: Culicidae)." Journal of insect physiology 59, no. 10 (2013): 1001-1007.</t>
  </si>
  <si>
    <t>Culex</t>
  </si>
  <si>
    <t>pipiens</t>
  </si>
  <si>
    <t>Culex pipiens</t>
  </si>
  <si>
    <t>Eggs were collected from the wild. Treatments were acclimation for different durations.</t>
  </si>
  <si>
    <t>Season was taken to be "summer" because animals were collected between mid June and mid September in Colorado (USA). Eggs were collected from the wild so a portion of the development occurred outside controlled conditions. Animals incubated to 18C were acclimated for 3-4 days longer than animals incubated at 26C; and all animals were then re-incubated at 18C at the adult stage. Humidity was taken as the mean of the range presented (60-70%). acc_duration was taken as 12 days because authors indicate that "time between first exposure to the experimental temperature and pupation was at least 12 days". Age was taken as the mean of the range presented (4-5 days). Body mass (dry mass) was calculated as the mean dry mass of both treatments from the raw data. Endpoint was "the final 10s of spiracular activity displayed by the insect".</t>
  </si>
  <si>
    <t>Season was taken to be "summer" because animals were collected between mid June and mid September in Colorado (USA). Eggs were collected from the wild so a portion of the development occurred outside controlled conditions. Animals incubated to 18C were acclimated for 3-4 days longer than animals incubated at 26C; and all animals were then re-incubated at 26C at the adult stage. Humidity was taken as the mean of the range presented (60-70%). acc_duration was taken as 12 days because authors indicate that "time between first exposure to the experimental temperature and pupation was at least 12 days". Age was taken as the mean of the range presented (4-5 days). Body mass (dry mass) was calculated as the mean dry mass of both treatments from the raw data. Endpoint was "the final 10s of spiracular activity displayed by the insect".</t>
  </si>
  <si>
    <t>Fig4.6</t>
  </si>
  <si>
    <t>063_Delorme-Juri_2017_Fig4.6</t>
  </si>
  <si>
    <t>Delorme-Juri_2017</t>
  </si>
  <si>
    <t>Thermal Biology of the New Zealand Sea Urchin Evechinus chloroticus</t>
  </si>
  <si>
    <t>Delorme Juri, Natali. "Thermal biology of the New Zealand sea urchin Evechinus chloroticus." PhD diss., ResearchSpace@ Auckland, 2017.</t>
  </si>
  <si>
    <t>Echinoidea</t>
  </si>
  <si>
    <t>Echinoida</t>
  </si>
  <si>
    <t>Echinometridae</t>
  </si>
  <si>
    <t>Evechinus</t>
  </si>
  <si>
    <t>chloroticus</t>
  </si>
  <si>
    <t>Evechinus chloroticus</t>
  </si>
  <si>
    <t xml:space="preserve">Animals in each acclimation treatment were sampled at different times from the field and parents experienced different conditions. </t>
  </si>
  <si>
    <t xml:space="preserve">Data for gastrula. acc_duration not reported. Animals acclimated to 18C were not collected during the same event as animals acclimated to 21 or 24C, and parents in the 18C acclimation treatment were acclimated to 18C for 90 days. We still included this data but did not include the year/season the animals were sampled because of the heterogeneity in sampling events. Mobility was taken as "immobile" because larval stages of echinoderms have a limited motility. </t>
  </si>
  <si>
    <t>Data digitised from figure. Sample sizes were taken as the number of test temperatures * the number of replicate test temperatures. Confidence intervals were divided by 1.96 to calculate standard error. SE is reported instead of SD.</t>
  </si>
  <si>
    <t xml:space="preserve">Data for gastrula. acc_duration not reported. Season was taken to be "summer" because animals were collected in February in New Zealand. Mobility was taken as "immobile" because larval stages of echinoderms have a limited motility. </t>
  </si>
  <si>
    <t xml:space="preserve">Data for 2-arm larvae. acc_duration not reported. Animals acclimated to 18C were not collected during the same event as animals acclimated to 21 or 24C, and parents in the 18C acclimation treatment were acclimated to 18C for 90 days. We still included this data but did not include the year/season the animals were sampled because of the heterogeneity in sampling events. Mobility was taken as "immobile" because larval stages of echinoderms have a limited motility. </t>
  </si>
  <si>
    <t xml:space="preserve">Data for 2-arm larvae. acc_duration not reported. Season was taken to be "summer" because animals were collected in February in New Zealand. Mobility was taken as "immobile" because larval stages of echinoderms have a limited motility. </t>
  </si>
  <si>
    <t xml:space="preserve">Data for 4-arm larvae. acc_duration not reported. Animals acclimated to 18C were not collected during the same event as animals acclimated to 21 or 24C, and parents in the 18C acclimation treatment were acclimated to 18C for 90 days. We still included this data but did not include the year/season the animals were sampled because of the heterogeneity in sampling events. Mobility was taken as "immobile" because larval stages of echinoderms have a limited motility. </t>
  </si>
  <si>
    <t xml:space="preserve">Data for 4-arm larvae. acc_duration not reported. Season was taken to be "summer" because animals were collected in February in New Zealand. Mobility was taken as "immobile" because larval stages of echinoderms have a limited motility. </t>
  </si>
  <si>
    <t>Esquer-Mendez_et_al_2010</t>
  </si>
  <si>
    <t>Thermal tolerance and compatibility zones as a tool to establish the optimum culture condition of the halibut Paralichthys californicus (Ayres, 1859)</t>
  </si>
  <si>
    <t>10.1111/j.1365-2109.2009.02385.x</t>
  </si>
  <si>
    <t>Esquer Mendez, José L., Mónica Hernández Rodríguez, and Luis F. Bückle Ramirez. "Thermal tolerance and compatibility zones as a tool to establish the optimum culture condition of the halibut Paralichthys californicus (Ayres, 1859)." Aquaculture Research 41, no. 7 (2010): 1015-1021.</t>
  </si>
  <si>
    <t>Paralichthyidae</t>
  </si>
  <si>
    <t>Paralichthys</t>
  </si>
  <si>
    <t>Paralichthys californicus</t>
  </si>
  <si>
    <t>SE was taken instead of the SD reported.</t>
  </si>
  <si>
    <t>I was unclear to us how the LT50 data was presented so we contacted the authors of the study and they indicated that "You can check table 2, for each acclimation temperature are the thermal baths to which the fish were exposed. In this table is the mean and standard deviation for the observed data, as well as the LT50 value. E.g. AT 15 °C,  LT50 = 29.9 ± 0.06; AT 18 °C, LT50 = 30.9 ± 0.05; AT 20°C, LT50 = 30.9  ± 0.08; AT 24 °C, LT50 = 30.9 ± 0.06.". acc_temp_var, oxygen, body_length, and body_mass were taken as the mean of the two treatments compared. set_time was not reported.</t>
  </si>
  <si>
    <t xml:space="preserve">Data obtained from the authors of the original study and presented in table 2. Although authors report "standard deviations", these values seem closer to standard errors (and estimations from linear regressions usually return standard errors) so we considered the sd_low and sd_high as SE instead of SD. Sample sizes were taken as the number of test temperatures * the number of replicate test temperatures. </t>
  </si>
  <si>
    <t>Meng_et_al_2009</t>
  </si>
  <si>
    <t>Thermal resistance in sea cucumbers (Apostichopus japonicus) with differing thermal history: The role of Hsp70</t>
  </si>
  <si>
    <t>Aquaculture</t>
  </si>
  <si>
    <t>10.1016/j.aquaculture.2009.06.015</t>
  </si>
  <si>
    <t>Meng, Xian-liang, Ting-ting Ji, Yun-wei Dong, Qing-lin Wang, and Shuang-lin Dong. "Thermal resistance in sea cucumbers (Apostichopus japonicus) with differing thermal history: The role of Hsp70." Aquaculture 294, no. 3-4 (2009): 314-318.</t>
  </si>
  <si>
    <t xml:space="preserve">The body mass used was the body mass before the acclimation period. </t>
  </si>
  <si>
    <t>Data taken from the main text (results section). Sample sizes were taken as the number of test temperatures * the number of replicate test temperatures. Confidence intervals were divided by 1.96 to calculate standard error. SE is reported instead of SD.</t>
  </si>
  <si>
    <t xml:space="preserve">L. siliquoidea individuals were considered the same population as in Archambault_et_al_2014a (study_ID 123). However, they were considered a different family because the studies were published years apart. </t>
  </si>
  <si>
    <t>Pandolfo_et_al_2010a</t>
  </si>
  <si>
    <t>Upper thermal tolerances of early life stages of freshwater mussels</t>
  </si>
  <si>
    <t>Journal of the North American Benthological Society</t>
  </si>
  <si>
    <t>10.1899/09-128.1</t>
  </si>
  <si>
    <t>Pandolfo, Tamara J., W. Gregory Cope, Consuelo Arellano, Robert B. Bringolf, M. Christopher Barnhart, and Edward Hammer. "Upper thermal tolerances of early life stages of freshwater mussels." Journal of the North American Benthological Society 29, no. 3 (2010): 959-969.</t>
  </si>
  <si>
    <t xml:space="preserve">Mobility was taken as "immobile" because the mobility of mussels is quite limited. Housing_temp was averaged because two different temperatures were reported (17 and 22C). Age_tested was taken as the mean of the range presented (3 to 8 weeks). </t>
  </si>
  <si>
    <t>Potamilus</t>
  </si>
  <si>
    <t>alatus</t>
  </si>
  <si>
    <t>Potamilus alatus</t>
  </si>
  <si>
    <t>Ligumia</t>
  </si>
  <si>
    <t>recta</t>
  </si>
  <si>
    <t>Ligumia recta</t>
  </si>
  <si>
    <t>Ellipsaria</t>
  </si>
  <si>
    <t>lineolata</t>
  </si>
  <si>
    <t>Ellipsaria lineolata</t>
  </si>
  <si>
    <t xml:space="preserve">Mobility was taken as "immobile" because the mobility of mussels is quite limited. Housing_temp was averaged because two different temperatures were reported (17 and 22C). Age_tested was taken as the mean of the range presented (1 to 4 weeks). </t>
  </si>
  <si>
    <t>Villosa</t>
  </si>
  <si>
    <t>delumbis</t>
  </si>
  <si>
    <t>Villosa delumbis</t>
  </si>
  <si>
    <t>Megalonaias</t>
  </si>
  <si>
    <t>nervosa</t>
  </si>
  <si>
    <t>Megalonaias nervosa</t>
  </si>
  <si>
    <t>Alasmidonta</t>
  </si>
  <si>
    <t>varicosa</t>
  </si>
  <si>
    <t>Alasmidonta varicosa</t>
  </si>
  <si>
    <t xml:space="preserve">L. siliquoidea individuals were considered the same population as in Archambault_et_al_2014a (study_ID 123). However, they were considered a different family because the studies were published years apart. We, instead, used the same family_ID as in Pandolfo_et_al_2010a (study ID 132) because animals were raised in the same laboratory, in the same period. </t>
  </si>
  <si>
    <t>Pandolfo_et_al_2010b</t>
  </si>
  <si>
    <t>Thermal tolerance of juvenile freshwater mussels (Unionidae) under the added stress of copper</t>
  </si>
  <si>
    <t>Environmental Toxicology and Chemistry</t>
  </si>
  <si>
    <t>10.1002/etc.92</t>
  </si>
  <si>
    <t>Pandolfo, Tamara J., W. Gregory Cope, and Consuelo Arellano. "Thermal tolerance of juvenile freshwater mussels (Unionidae) under the added stress of copper." Environmental Toxicology and Chemistry: An International Journal 29, no. 3 (2010): 691-699.</t>
  </si>
  <si>
    <t xml:space="preserve">Mobility was taken as "immobile" because the mobility of mussels is quite limited. Housing_temp was averaged because two different temperatures were reported (17 and 22C; reported in Pandolfo_et_al_2010b).The age of the animals tested was calculated as the age reported in Pandolfo_et_al_2010a minus two (the difference between 96h and 48h). </t>
  </si>
  <si>
    <t>Data taken from table. Sample sizes were taken as the number of test temperatures * the number of replicate test temperatures. Confidence intervals were converted to SD by dividing the confidence intervals by 1.96. SE is reported instead of SD. Data for the 96h-LT50 was the same as the data presented in Pandolfo_et_al_2010a. The data on animals supplemented with Copper were excluded.</t>
  </si>
  <si>
    <t xml:space="preserve">P. alatus individuals were considered the same population and family as in Pandolfo_et_al_2010a (study_ID 132). </t>
  </si>
  <si>
    <t xml:space="preserve">L. recta individuals were considered the same population and family as in Pandolfo_et_al_2010a (study_ID 132). </t>
  </si>
  <si>
    <t>11 populations were used in this study.</t>
  </si>
  <si>
    <t>http://dx.doi.org/10.5061/dryad.bp76g</t>
  </si>
  <si>
    <t>Pereira_et_al_2017</t>
  </si>
  <si>
    <t>Adaptation to a latitudinal thermal gradient within a widespread copepod species: the contributions of genetic divergence and phenotypic plasticity</t>
  </si>
  <si>
    <t>Proceedings of the Royal Society B: Biological Sciences</t>
  </si>
  <si>
    <t>http://dx.doi.org/10.1098/rspb.2017.0236</t>
  </si>
  <si>
    <t>Pereira, Ricardo J., Matthew C. Sasaki, and Ronald S. Burton. "Adaptation to a latitudinal thermal gradient within a widespread copepod species: the contributions of genetic divergence and phenotypic plasticity." Proceedings of the Royal Society B: Biological Sciences 284, no. 1853 (2017): 20170236.</t>
  </si>
  <si>
    <t xml:space="preserve">Data for the "SRQ"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</si>
  <si>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Data taken from the published data. Summary statistics were already calculated for each population. Sample sizes were taken as the number of test temperatures * the number of replicate test temperatures. SE is reported instead of SD.</t>
  </si>
  <si>
    <t xml:space="preserve">Data for the "BUF" population.Animals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</si>
  <si>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San Diego ("SD"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</si>
  <si>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"SD"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</si>
  <si>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Bird Rock ("BR"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</si>
  <si>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"BR"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</si>
  <si>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"AB"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</si>
  <si>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Santa Cruz ("SCN"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</si>
  <si>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"SCN"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</si>
  <si>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Pescadero ("PES"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</si>
  <si>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"PES"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</si>
  <si>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"BDM"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</si>
  <si>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"HEC"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</si>
  <si>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"PAC"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</si>
  <si>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"RC"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</si>
  <si>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Procarione_and_King_1993</t>
  </si>
  <si>
    <t>Upper and Lower Temperature Tolerance Limits for Juvenile Red Drums from Texas and South Carolina</t>
  </si>
  <si>
    <t>Journal of Aquatic Animal Health</t>
  </si>
  <si>
    <t>https://doi.org/10.1577/1548-8667(1993)005&lt;0208:UALTTL&gt;2.3.CO;2</t>
  </si>
  <si>
    <t>Procarione, Lynne S., and Tim L. King. "Upper and lower temperature tolerance limits for juvenile red drums from Texas and South Carolina." Journal of Aquatic Animal Health 5, no. 3 (1993): 208-212.</t>
  </si>
  <si>
    <t>Acanthuriformes</t>
  </si>
  <si>
    <t>Sciaenidae</t>
  </si>
  <si>
    <t>Sciaenops</t>
  </si>
  <si>
    <t>ocellatus</t>
  </si>
  <si>
    <t>Sciaenops ocellatus</t>
  </si>
  <si>
    <t xml:space="preserve">Data for the Texas red drum. 20C was the housing_temp so animals acclimated to 20C were acclimated for longer than the other groups, hence why incubation_indedependent was taken as "no". Acc_temp_var was averaged between treatments (see table 1). Acc_duration was taken as the mean of the range presented (19-26 days). age_tested was taken as the age of the fish when they started the first acclimation (30d) + the 4 months before the start of the experiments + the 3 days of pre-acclimatiom + 7 days of adjustment period + 19-26 days of acclimation. </t>
  </si>
  <si>
    <t xml:space="preserve">Data for the South Carolina red drum. 20C was the housing_temp so animals acclimated to 20C were acclimated for longer than the other groups, hence why incubation_indedependent was taken as "no". Acc_temp_var was averaged between treatments (see table 1). Acc_duration was taken as the mean of the range presented (19-26 days). age_tested was taken as the age of the fish when they started the first acclimation (30d) + the 4 months before the start of the experiments + the 3 days of pre-acclimatiom + 7 days of adjustment period + 19-26 days of acclimation. </t>
  </si>
  <si>
    <t xml:space="preserve"> "Winter" and "Summer" eggs were considered separate populations and families. </t>
  </si>
  <si>
    <t>064_Rosa_2014_Fig5A</t>
  </si>
  <si>
    <t>Rosa_et_al_2014</t>
  </si>
  <si>
    <t>Differential impacts of ocean acidification and warming on winter and summer progeny of a coastal squid (Loligo vulgaris)</t>
  </si>
  <si>
    <t>10.1242/jeb.096081</t>
  </si>
  <si>
    <t>Rosa, Rui, Katja Trübenbach, Marta S. Pimentel, Joana Boavida-Portugal, Filipa Faleiro, Miguel Baptista, Gisela Dionísio, Ricardo Calado, Hans O. Pörtner, and Tiago Repolho. "Differential impacts of ocean acidification and warming on winter and summer progeny of a coastal squid (Loligo vulgaris)." Journal of Experimental Biology 217, no. 4 (2014): 518-525.</t>
  </si>
  <si>
    <t>Cephalopoda</t>
  </si>
  <si>
    <t>Myopsida</t>
  </si>
  <si>
    <t>Loliginidae</t>
  </si>
  <si>
    <t>Loligo</t>
  </si>
  <si>
    <t>vulgaris</t>
  </si>
  <si>
    <t>Loligo vulgaris</t>
  </si>
  <si>
    <t>hybrid between LT50 and CTmax</t>
  </si>
  <si>
    <t xml:space="preserve">Data for late embryos from eggs collected in Winter.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and acclimation temperatures were averaged between treatments (see table S3 for original values).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</si>
  <si>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Data digitised from figure. Sample sizes were taken as the number of test temperatures * the number of replicate test temperatures. Note that n_test_temp was estimated and is not exact. Although authors report "standard deviations", these values seem closer to standard errors (and estimations from linear regressions usually return standard errors) so we considered the sd_low and sd_high as SE instead of SD.</t>
  </si>
  <si>
    <t xml:space="preserve">Data for parlarvae from eggs collected in Winter.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and acclimation temperatures were averaged between treatments (see table S3 for original values).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</si>
  <si>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 xml:space="preserve">Data for late embryos from eggs collected in Summer.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could not be exactly averaged because the table was trimmed and values for animals acclimated to 19C were not available (see table S3).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</si>
  <si>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hybrid between LT50 and CTmax. SD missing.</t>
  </si>
  <si>
    <t xml:space="preserve">Data for parlarvae from eggs collected in Summer.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could not be exactly averaged because the table was trimmed and values for animals acclimated to 19C were not available (see table S3).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</si>
  <si>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 xml:space="preserve">Ten population were used in this study. </t>
  </si>
  <si>
    <t>065_Sasaki_Dam_2019_Fig5</t>
  </si>
  <si>
    <t>Sasaki_and_Dam_2019</t>
  </si>
  <si>
    <t>Integrating patterns of thermal tolerance and phenotypic plasticity with population genetics to improve understanding of vulnerability to warming in a widespread copepod</t>
  </si>
  <si>
    <t>Global Change Biology</t>
  </si>
  <si>
    <t>10.1111/gcb.14811</t>
  </si>
  <si>
    <t>Sasaki, Matthew C., and Hans G. Dam. "Integrating patterns of thermal tolerance and phenotypic plasticity with population genetics to improve understanding of vulnerability to warming in a widespread copepod." Global change biology 25, no. 12 (2019): 4147-4164.</t>
  </si>
  <si>
    <t>Calanoida</t>
  </si>
  <si>
    <t>Acartiidae</t>
  </si>
  <si>
    <t>Acartia</t>
  </si>
  <si>
    <t>tonsa</t>
  </si>
  <si>
    <t>Acartia tonsa</t>
  </si>
  <si>
    <t>Data for the "KL"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</si>
  <si>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digitised from figure. Sample sizes were taken as the number of test temperatures * the number of replicate test temperatures. SE is reported instead of SD.</t>
  </si>
  <si>
    <t>Data for the "PR"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</si>
  <si>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"PG"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</si>
  <si>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"MR"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</si>
  <si>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"SP"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</si>
  <si>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"NS"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</si>
  <si>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"CT"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</si>
  <si>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"MA"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</si>
  <si>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"SA"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</si>
  <si>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"SB"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</si>
  <si>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 xml:space="preserve">Animals were considered the same population as in Sasaki_and_Dam_2020 (study_ID 136) because animals were collected in the same zone. However, they were considered different families because animals were captured at different times. </t>
  </si>
  <si>
    <t>Fig7A</t>
  </si>
  <si>
    <t>066_Sasaki_Dam_2020_Fig7A</t>
  </si>
  <si>
    <t>Sasaki_and_Dam_2020</t>
  </si>
  <si>
    <t>Genetic differentiation underlies seasonal variation in thermal tolerance, body size, and plasticity in a short-lived copepod</t>
  </si>
  <si>
    <t>Ecology and Evolution</t>
  </si>
  <si>
    <t>10.1002/ece3.6851</t>
  </si>
  <si>
    <t>Sasaki, Matthew C., and Hans G. Dam. "Genetic differentiation underlies seasonal variation in thermal tolerance, body size, and plasticity in a short‐lived copepod." Ecology and evolution 10, no. 21 (2020): 12200-12210.</t>
  </si>
  <si>
    <t>Data for animals captured in June. Season was taken as "summer".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</si>
  <si>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Data for animals captured in July. Season was taken as "summer".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</si>
  <si>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Data for animals captured in November "pre-snap". Season was taken as "fall".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</si>
  <si>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 xml:space="preserve">Animals were considered the same population and family as in Sasaki_and_Dam_2020 (study_ID 136; "CT" population) because animals were collected in the same zone, during the same sampling event. </t>
  </si>
  <si>
    <t>Data for animals captured in November "post-snap". Season was taken as "fall".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</si>
  <si>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Data for animals collected in late November. Season was taken as "fall".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</si>
  <si>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067_Sasaki_2019_Fig3</t>
  </si>
  <si>
    <t>Sasaki_et_al_2019</t>
  </si>
  <si>
    <t>Complex interactions between local adaptation, phenotypic plasticity and sex affect vulnerability to warming in a widespread marine copepod</t>
  </si>
  <si>
    <t>Royal Society Open Science</t>
  </si>
  <si>
    <t>http://dx.doi.org/10.1098/rsos.182115</t>
  </si>
  <si>
    <t>Sasaki, Matthew, Sydney Hedberg, Kailin Richardson, and Hans G. Dam. "Complex interactions between local adaptation, phenotypic plasticity and sex affect vulnerability to warming in a widespread marine copepod." Royal Society open science 6, no. 3 (2019): 182115.</t>
  </si>
  <si>
    <t>sample sizes approximated</t>
  </si>
  <si>
    <t>Data for females of the "CT"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</si>
  <si>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Data for males of the "CT"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</si>
  <si>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 xml:space="preserve">Animals were considered the same population and family as in Sasaki_and_Dam_2020 (study_ID 136; "PG" population) because animals were collected in the same zone, during the same sampling event. </t>
  </si>
  <si>
    <t>Data for females of the "FL"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</si>
  <si>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Data for males of the "FL"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</si>
  <si>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Tab4</t>
  </si>
  <si>
    <t>Sasmita_et_al_2019</t>
  </si>
  <si>
    <t>Effects of larval diets and temperature regimes on life history traits, energy reserves and temperature tolerance of male Aedes aegypti (Diptera: Culicidae): optimizing rearing techniques for the sterile insect programmes</t>
  </si>
  <si>
    <t>Parasites Vectors</t>
  </si>
  <si>
    <t xml:space="preserve">https://doi.org/10.1186/s13071-019-3830-z
 </t>
  </si>
  <si>
    <t>Sasmita, Hadian Iman, Wu-Chun Tu, Lee-Jin Bong, and Kok-Boon Neoh. "Effects of larval diets and temperature regimes on life history traits, energy reserves and temperature tolerance of male Aedes aegypti (Diptera: Culicidae): optimizing rearing techniques for the sterile insect programmes." Parasites &amp; vectors 12, no. 1 (2019): 1-16.</t>
  </si>
  <si>
    <t>Aedes</t>
  </si>
  <si>
    <t>aegypti</t>
  </si>
  <si>
    <t>Aedes aegypti</t>
  </si>
  <si>
    <t xml:space="preserve">Data for animals fed with the "Khan's"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t>
  </si>
  <si>
    <t xml:space="preserve">Data for animals fed with the "Khan's"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Animals acclimated to 25C were acclimated for longer than the other experimental group because this was the housing_temperature and the common_temp. </t>
  </si>
  <si>
    <t xml:space="preserve">Data for animals fed with the "IAEA 2"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Animals acclimated to 25C were acclimated for longer than the other experimental group because this was the housing_temperature and the common_temp. </t>
  </si>
  <si>
    <t xml:space="preserve">Data for animals fed with the "IAEA 2"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t>
  </si>
  <si>
    <t>Wong_and_Hofmann_2020</t>
  </si>
  <si>
    <t>The effects of temperature and pCO2 on the size, thermal tolerance and metabolic rate of the red sea urchin (Mesocentrotus franciscanus) during early development</t>
  </si>
  <si>
    <t>Marine Biology</t>
  </si>
  <si>
    <t>https://doi.org/10.1007/s00227-019-3633-y</t>
  </si>
  <si>
    <t>Strongylocentrotidae</t>
  </si>
  <si>
    <t>Mesocentrotus</t>
  </si>
  <si>
    <t>franciscanus</t>
  </si>
  <si>
    <t>Mesocentrotus franciscanus</t>
  </si>
  <si>
    <t>acc_temp_var, body_length and pH were averaged between the two treatments (see original values in Tab 1-2).</t>
  </si>
  <si>
    <t>Data taken from table. Sample sizes were taken as the number of test temperatures * the number of replicate test temperatures. Although authors report "standard deviations", these values seem closer to standard errors (and estimations from linear regressions usually return standard errors) so we considered the sd_low and sd_high as SE instead of SD.</t>
  </si>
  <si>
    <t>Cai_and_Chen_2005</t>
  </si>
  <si>
    <t>Thermal effects of temperature on two commercially important shrimp species in Daya Bay</t>
  </si>
  <si>
    <t>Acta Ecologica Sinica</t>
  </si>
  <si>
    <t>Cai, Zeping, and Haoru Chen. "Thermal effects of temperature on two commercially important shrimp species in Daya Bay." Acta ecologica sinica/Shengtai Xuebao 25, no. 5 (2005): 1115-1122.</t>
  </si>
  <si>
    <t>Penaeus</t>
  </si>
  <si>
    <t>monodon</t>
  </si>
  <si>
    <t>Penaeus monodon</t>
  </si>
  <si>
    <t>The study was published in simplified Chinese and a translator (deepL.com) was used to translate the text. \</t>
  </si>
  <si>
    <t xml:space="preserve">Data taken from table. It was unclear whether standard deviation or standard error were presented. We assumed it was SE (conservative) and SE was converted to SD. </t>
  </si>
  <si>
    <t xml:space="preserve">The study was published in simplified Chinese and a translator (deepL.com) was used to translate the text. </t>
  </si>
  <si>
    <t>LT50 was calculated using survival data provided in table 2. I fitted a logistic regression and use the dose.p() function from 'MASS' to calculate LT50. The standard error is provided instead of SD. Sample size was taken as the number of test temperatures * the number of replicates per test temperatures.</t>
  </si>
  <si>
    <t>Metapenaeus</t>
  </si>
  <si>
    <t>Metapenaeus affinis</t>
  </si>
  <si>
    <t>Treatments were re-used in stepwise comparisons</t>
  </si>
  <si>
    <t>069_Azra_2018_Fig2</t>
  </si>
  <si>
    <t>Azra_et_al_2018</t>
  </si>
  <si>
    <t>Thermal tolerance and locomotor activity of blue swimmer crab Portunus pelagicus instar reared at different temperatures</t>
  </si>
  <si>
    <t>https://doi.org/10.1016/j.jtherbio.2018.04.002</t>
  </si>
  <si>
    <t>Azra, Mohamad N., Jiann-Chu Chen, Mhd Ikhwanuddin, and Ambok Bolong Abol-Munafi. "Thermal tolerance and locomotor activity of blue swimmer crab Portunus pelagicus instar reared at different temperatures." Journal of thermal biology 74 (2018): 234-240.</t>
  </si>
  <si>
    <t>Portunidae</t>
  </si>
  <si>
    <t>Portunus</t>
  </si>
  <si>
    <t>pelagicus</t>
  </si>
  <si>
    <t>Portunus pelagicus</t>
  </si>
  <si>
    <t xml:space="preserve">age_tested was taken as the age of the animals when they reached the first instar (4 days) + the time to reach the eighth instar (120 days) + the duration of acclimation (3 weeks). Housing_temp, salinity, and pH were takern as the mean of the ranges presented. </t>
  </si>
  <si>
    <t xml:space="preserve">Data digitised from figure. Sample sizes were taken as 20 because authors indicate that "five crabs were place in five individual containers" and "each thermal tolerance assay was repeated four to five times, and each crab was used only once in the tests". Note that the standard deviation was not presented and hence, was presented as "NA". Note that the x axis on the figure was incorrect and we took the x values to be the acclimation temperatures in the text, in order. </t>
  </si>
  <si>
    <t xml:space="preserve">age_tested was taken as the age of the animals when they reached the first instar (4 days) + the time to reach the eighth instar (120 days) + the duration of acclimation (3 weeks). Housing_temp, salinity, and pH were takern as the mean of the ranges presented. Animals acclimated to 28C were acclimated for longer because it was the housing_temp. </t>
  </si>
  <si>
    <t>Campbell_et_al_2020</t>
  </si>
  <si>
    <t>Thermal tolerance in the amphipod Sunamphitoe parmerong from a global warming hotspot, acclimatory carryover effects within generation</t>
  </si>
  <si>
    <t>Marine Environmental Research</t>
  </si>
  <si>
    <t>https://doi.org/10.1016/j.marenvres.2020.105048</t>
  </si>
  <si>
    <t>Campbell, Hamish, Janine Ledet, Alistair GB Poore, and Maria Byrne. "Thermal tolerance in the amphipod Sunamphitoe parmerong from a global warming hotspot, acclimatory carryover effects within generation." Marine Environmental Research 160 (2020): 105048.</t>
  </si>
  <si>
    <t>Amphipoda</t>
  </si>
  <si>
    <t>Ampithoidae</t>
  </si>
  <si>
    <t>Sunamphitoe</t>
  </si>
  <si>
    <t>parmerong</t>
  </si>
  <si>
    <t>Sunamphitoe parmerong</t>
  </si>
  <si>
    <t xml:space="preserve">life_stage_manip was taken as "embryo_and_juvenile" because embryos were exposed to the acclimation temperatures through the mothers. Animals were tested upon reaching sexual maturity. N_replicates_per_temp was approximated based on the number of points presented in Fig. 1. </t>
  </si>
  <si>
    <t xml:space="preserve">Data taken from the main text (results section). Sample sizes were taken as the number of test temperatures * the number of replicate test temperatures. Note that the standard error was not presented and hence, was reported as "NA". </t>
  </si>
  <si>
    <t>Chen_and_Chen_1999</t>
  </si>
  <si>
    <t>Temperature tolerance of Haliotis diversicolor supertexta at different salinity and temperature levels</t>
  </si>
  <si>
    <t>Chen, Jiann-Chu, and Wei-Chi Chen. "Temperature tolerance of Haliotis diversicolor supertexta at different salinity and temperature levels." Comparative Biochemistry and Physiology Part A: Molecular &amp; Integrative Physiology 124, no. 1 (1999): 73-80.</t>
  </si>
  <si>
    <t>Gastropoda</t>
  </si>
  <si>
    <t>Vetigastropoda</t>
  </si>
  <si>
    <t>Haliotidae</t>
  </si>
  <si>
    <t>Haliotis</t>
  </si>
  <si>
    <t>diversicolor</t>
  </si>
  <si>
    <t>Haliotis diversicolor</t>
  </si>
  <si>
    <t xml:space="preserve">Endpoint was the temperature until which "juveniles could not reattach to the beakers when touched with a glass rod". Animals acclimated to 25C were acclimated for longer because it was the housing_temp. </t>
  </si>
  <si>
    <t xml:space="preserve">Data taken from table. Note that the standard error was not presented and hence, was reported as "NA". </t>
  </si>
  <si>
    <t>Animals acclimated to 25C were acclimated for longer because it was the housing_temp.</t>
  </si>
  <si>
    <t xml:space="preserve">Data taken from table. I fitted a logistic regression and use the dose.p() function from 'MASS' to calculate LT50. Sample sizes were taken as the number of test temperatures * the number of replicate test temperatures. SE is reported instead of SD. I did not use the values presented in table 4 because the confidence intervals were inconsistent (e.g., upper confidence intervals were sometimes lower than LT50). </t>
  </si>
  <si>
    <t>Cook_et_al_2006</t>
  </si>
  <si>
    <t>Thermal tolerance of a northern population of striped bass Morone saxatilis</t>
  </si>
  <si>
    <t>10.1111/j.1095-8649.2006.01211.x</t>
  </si>
  <si>
    <t>Cook, A. M., J. Duston, and R. G. Bradford. "Thermal tolerance of a northern population of striped bass Morone saxatilis." Journal of Fish Biology 69, no. 5 (2006): 1482-1490.</t>
  </si>
  <si>
    <t>Morone</t>
  </si>
  <si>
    <t>saxatilis</t>
  </si>
  <si>
    <t>Morone saxatilis</t>
  </si>
  <si>
    <t>N missing</t>
  </si>
  <si>
    <t xml:space="preserve">Eggs were collected from the wild so a portion of the development occurred in natural conditions. N_test_temp and hence, sample sizes, could not be determined. </t>
  </si>
  <si>
    <t>Data taken from table. The t-ratio was converted to SE by dividing the estimate by its associated t-ratio. Sample sizes could not be determined because the number of test temperatures was not presented.</t>
  </si>
  <si>
    <t>Animals from the "Louisa Lake" population were considered to be originating from the same population as in Kelly_et_al_2014 (study_ID 46). Treatments were re-used in stepwise comparisons.</t>
  </si>
  <si>
    <t>Fig3C</t>
  </si>
  <si>
    <t>070_McDermid_2013_Fig3C</t>
  </si>
  <si>
    <t>McDermid_et_al_2013</t>
  </si>
  <si>
    <t>Intraspecific Differences in Thermal Biology among Inland Lake Trout Populations</t>
  </si>
  <si>
    <t>Transactions of the American Fisheries Society</t>
  </si>
  <si>
    <t>10.1080/00028487.2013.768548</t>
  </si>
  <si>
    <t>McDermid, Jenni L., Chris C. Wilson, William N. Sloan, and Brian J. Shuter. "Intraspecific differences in thermal biology among inland lake trout populations." Transactions of the American Fisheries Society 142, no. 3 (2013): 756-766.</t>
  </si>
  <si>
    <t>Geographical coordinates were taken to be the same as in "Kelly_et_al_2014" (study_ID 46). Season was taken as "fall" because animals were collected in October in Canada. Body length was digitised from figure 2.</t>
  </si>
  <si>
    <t>Different duration of acclimations.</t>
  </si>
  <si>
    <t>Geographical coordinates were taken to be the same as in "Kelly_et_al_2014" (study_ID 46). Season was taken as "fall" because animals were collected in October in Canada. Animals acclimated to 16C were acclimated for a shorter period because the acclimation of these animals started later during the year (August vs. May). Body length was digitised from figure 2.</t>
  </si>
  <si>
    <t>Animals from the "Lake Opeongo" population were considered to be originating from the same population as in Kelly_et_al_2014 (study_ID 46). Treatments were re-used in stepwise comparisons.</t>
  </si>
  <si>
    <t>071_Medina-Romo_2018_Fig1</t>
  </si>
  <si>
    <t>Medina-Romo_et_al_2018</t>
  </si>
  <si>
    <t>Thermal tolerance and aerobic scope of tetra-hybrid tilapia Pargo-UNAM</t>
  </si>
  <si>
    <t>Latin american journal of aquatic research</t>
  </si>
  <si>
    <t>10.3856/vol46-issue5-fulltext-7</t>
  </si>
  <si>
    <t>Medina-Romo, Evnika Zarina, Fernando Díaz, Ana Denise Re-Araujo, Leonardo Ibarra-Castro, Mario Garduño-Lugo, Erendira Rocío Latorre-Pozos, Ernesto Larios-Soriano, and Carlos Rosas. "Thermal tolerance and aerobic scope of tetra-hybrid tilapia Pargo-UNAM." Latin american journal of aquatic research 46, no. 5 (2018): 935-944.</t>
  </si>
  <si>
    <t>Oreochromis</t>
  </si>
  <si>
    <t>niloticus</t>
  </si>
  <si>
    <t>Oreochromis niloticus</t>
  </si>
  <si>
    <t>Hybrid species</t>
  </si>
  <si>
    <t xml:space="preserve">The animals were tetra-hybrid tilapia Pargo-UNAM. O. niloticus was assigned as the species name for phylogenetic modelling, but note that this is not exact. </t>
  </si>
  <si>
    <t xml:space="preserve">Data digitised from figure. Note that the standard error was not presented and hence, was reported as "NA". </t>
  </si>
  <si>
    <t>072_Uriarte_2018_Fig1A</t>
  </si>
  <si>
    <t>Uriarte_et_al_2018</t>
  </si>
  <si>
    <t>Thermal tolerance of paralarvae of Patagonian red octopus Enteroctopus megalocyathus</t>
  </si>
  <si>
    <t>10.1111/are.13666</t>
  </si>
  <si>
    <t>Uriarte, Iker, Carlos Rosas, Viviana Espinoza, Jorge Hernández, and Ana Farías. "Thermal tolerance of paralarvae of Patagonian red octopus Enteroctopus megalocyathus." Aquaculture Research 49, no. 6 (2018): 2119-2127.</t>
  </si>
  <si>
    <t>Octopoda</t>
  </si>
  <si>
    <t>Enteroctopodidae</t>
  </si>
  <si>
    <t>Enteroctopus</t>
  </si>
  <si>
    <t>megalocyathus</t>
  </si>
  <si>
    <t>Enteroctopus megalocyathus</t>
  </si>
  <si>
    <t>Data for fed animals that received maternal care during their incubation. Elevation was taken as the mean depth at which animals were collected.</t>
  </si>
  <si>
    <t xml:space="preserve">Different duration of acclimations. </t>
  </si>
  <si>
    <t>Data for fed animals that received maternal care during their incubation. Elevation was taken as the mean depth at which animals were collected. Animals acclimated to 12C were acclimated for longer because it was the housing_temp.</t>
  </si>
  <si>
    <t>073_Uriarte_2018_Fig1B</t>
  </si>
  <si>
    <t>Data for starved animals that received maternal care during their incubation. Elevation was taken as the mean depth at which animals were collected.</t>
  </si>
  <si>
    <t>Data for starved animals that received maternal care during their incubation. Elevation was taken as the mean depth at which animals were collected. Animals acclimated to 12C were acclimated for longer because it was the housing_temp.</t>
  </si>
  <si>
    <t>074_Uriarte_2018_Fig1C</t>
  </si>
  <si>
    <t>Data for fed animals reared under artificial incubation without maternal care. Elevation was taken as the mean depth at which animals were collected.</t>
  </si>
  <si>
    <t>Data for fed animals reared under artificial incubation without maternal care. Elevation was taken as the mean depth at which animals were collected. Animals acclimated to 12C were acclimated for longer because it was the housing_temp.</t>
  </si>
  <si>
    <t>Fig1D</t>
  </si>
  <si>
    <t>075_Uriarte_2018_Fig1D</t>
  </si>
  <si>
    <t>Data for starved animals reared under artificial incubation without maternal care. Elevation was taken as the mean depth at which animals were collected.</t>
  </si>
  <si>
    <t>Data for starved animals reared under artificial incubation without maternal care. Elevation was taken as the mean depth at which animals were collected. Animals acclimated to 12C were acclimated for longer because it was the housing_temp.</t>
  </si>
  <si>
    <t>SB</t>
  </si>
  <si>
    <t>Manriquez_et_al_2019</t>
  </si>
  <si>
    <t>Ocean warming and acidification pose synergistic limits to the thermal niche of an economically important echinoderm</t>
  </si>
  <si>
    <t>https://doi.org/10.1016/j.scitotenv.2019.07.275</t>
  </si>
  <si>
    <t>Manríquez, Patricio H., Claudio P. González, Katherina Brokordt, Luis Pereira, Rodrigo Torres, María E. Lattuca, Daniel A. Fernández et al. "Ocean warming and acidification pose synergistic limits to the thermal niche of an economically important echinoderm." Science of The Total Environment 693 (2019): 133469.</t>
  </si>
  <si>
    <t>Parechinidae</t>
  </si>
  <si>
    <t>Loxechinus</t>
  </si>
  <si>
    <t>Loxechinus albus</t>
  </si>
  <si>
    <t xml:space="preserve">Data for animals exposed to current pCO2 levels. Collective parent group collected from wild at a subtidal location “nearby” to reported coordinates, but study organisms reared in lab. No specific mention of families. Body mass was the wet mass. Endpoint was the "failure to self-right within 20 min", which was taken as akin to the LRR. body_mass, body_length, acc_temp_var, ramping, salinity and pH were averaged between the treatments compared. </t>
  </si>
  <si>
    <t>Data taken from table. SE was converted to SD.</t>
  </si>
  <si>
    <t>SB/PP</t>
  </si>
  <si>
    <t>Lohr_et_al_1996</t>
  </si>
  <si>
    <t>High-Temperature Tolerances of Fluvial Arctic Grayling and Comparisons with Summer River Temperatures of the Big Hole River, Montana</t>
  </si>
  <si>
    <t>https://doi.org/10.1577/1548-8659(1996)125&lt;0933:HTTOFA&gt;2.3.CO;2</t>
  </si>
  <si>
    <t>Lohr, S. C., P. A. Byorth, C. M. Kaya, and W. P. Dwyer. "High‐temperature tolerances of fluvial Arctic grayling and comparisons with summer river temperatures of the Big Hole River, Montana." Transactions of the American Fisheries Society 125, no. 6 (1996): 933-939.</t>
  </si>
  <si>
    <t>Thymallus</t>
  </si>
  <si>
    <t>arcticus</t>
  </si>
  <si>
    <t>Thymallus arcticus</t>
  </si>
  <si>
    <t>Treatments were acclimated for different durations. Elevation was approximated using https://latlongdata.com/elevation/</t>
  </si>
  <si>
    <t>Coordinates approximated from Google Maps using the description of the location provided ('Axolotl Lake, Madison County, Montana'). Fish acclimated to 16C for 14 days, but 20C fish only acclimated for 7 days. Reported 7 days because the acclimation period lasted at least 7 days for both groups, but this differs between the acclimation groups.</t>
  </si>
  <si>
    <t>Li_et_al_2015</t>
  </si>
  <si>
    <t>Temperature-dependent physiological and biochemical responses of the marine medaka Oryzias melastigma with consideration of both low and high thermal extremes</t>
  </si>
  <si>
    <t>http://dx.doi.org/10.1016/j.jtherbio.2014.09.011</t>
  </si>
  <si>
    <t>Li, Adela J., Priscilla TY Leung, Vivien WW Bao, Gilbert CS Lui, and Kenneth MY Leung. "Temperature-dependent physiological and biochemical responses of the marine medaka Oryzias melastigma with consideration of both low and high thermal extremes." Journal of thermal biology 54 (2015): 98-105.</t>
  </si>
  <si>
    <t>Beloniformes</t>
  </si>
  <si>
    <t>Adrianichthyidae</t>
  </si>
  <si>
    <t>Oryzias</t>
  </si>
  <si>
    <t>melastigma</t>
  </si>
  <si>
    <t>Oryzias melastigma</t>
  </si>
  <si>
    <t>age_tested was taken as the age of the larvae before acclimation (7-10 days) + the duration of acclimation (7 days)</t>
  </si>
  <si>
    <t>age_tested was taken as the age of the larvae before acclimation (7-10 days) + the duration of acclimation (7 days). Animals acclimated to 25C were acclimated for longer because it was the housing_temp.</t>
  </si>
  <si>
    <t>Kumlu_et_al_2010</t>
  </si>
  <si>
    <t>Thermal tolerance of Litopenaeus vannamei (Crustacea: Penaeidae) acclimated to four temperatures</t>
  </si>
  <si>
    <t>10.1016/j.jtherbio.2010.06.009</t>
  </si>
  <si>
    <t>Kumlu, Metin, Serhat Türkmen, and Mehmet Kumlu. "Thermal tolerance of Litopenaeus vannamei (Crustacea: Penaeidae) acclimated to four temperatures." Journal of Thermal Biology 35, no. 6 (2010): 305-308.</t>
  </si>
  <si>
    <t xml:space="preserve">Data for post-larvae. Endpoint was "the temperature at which a shrimp laid down on its side on the bottom and did not escape when touched with a glass rod", which is similar to LRR. </t>
  </si>
  <si>
    <t>Data taken from table.</t>
  </si>
  <si>
    <t xml:space="preserve">Data for juveniles. Endpoint was "the temperature at which a shrimp laid down on its side on the bottom and did not escape when touched with a glass rod", which is similar to LRR. </t>
  </si>
  <si>
    <t>TabS2</t>
  </si>
  <si>
    <t>Komoroske_et_al_2014</t>
  </si>
  <si>
    <t>Ontogeny influences sensitivity to climate change stressors in an endangered fish</t>
  </si>
  <si>
    <t>10.1093/conphys/cou008</t>
  </si>
  <si>
    <t>Komoroske, L. M., Richard E. Connon, J. Lindberg, B. S. Cheng, G. Castillo, M. Hasenbein, and N. A. Fangue. "Ontogeny influences sensitivity to climate change stressors in an endangered fish." Conservation Physiology 2, no. 1 (2014).</t>
  </si>
  <si>
    <t>Osmeriformes</t>
  </si>
  <si>
    <t>Osmeridae</t>
  </si>
  <si>
    <t>Hypomesus</t>
  </si>
  <si>
    <t>transpacificus</t>
  </si>
  <si>
    <t>Hypomesus transpacificus</t>
  </si>
  <si>
    <t xml:space="preserve">Geographical coordinates not reported because too aproximate. Age_tested was taken as the mean of the range presented (140-164). Acc_temp_var was averaged between treatments. </t>
  </si>
  <si>
    <t>Kir_et_al_2017</t>
  </si>
  <si>
    <t>Thermal tolerance and preferred temperature range of juvenile meagre acclimated to four temperatures</t>
  </si>
  <si>
    <t>http://dx.doi.org/10.1016/j.jtherbio.2017.02.018</t>
  </si>
  <si>
    <t>Kır, Mehmet, Murat Can Sunar, and Barış Can Altındağ. "Thermal tolerance and preferred temperature range of juvenile meagre acclimated to four temperatures." Journal of thermal biology 65 (2017): 125-129.</t>
  </si>
  <si>
    <t>Argyrosomus</t>
  </si>
  <si>
    <t>regius</t>
  </si>
  <si>
    <t>Argyrosomus regius</t>
  </si>
  <si>
    <t>Body mass before acclimation</t>
  </si>
  <si>
    <t>The body mass reported is the body mass before the acclimation period.</t>
  </si>
  <si>
    <t xml:space="preserve">Treatments re-used in stepwise comparisons. The same animals were used for measuring CTmax and LTmax, hence why the shared cohort_IDs. </t>
  </si>
  <si>
    <t>He_et_al_2014</t>
  </si>
  <si>
    <t>Effect of rearing temperature on growth and thermal tolerance of Schizothorax (Racoma) kozlovi larvae and juveniles</t>
  </si>
  <si>
    <t>http://dx.doi.org/10.1016/j.jtherbio.2014.09.009</t>
  </si>
  <si>
    <t>He, Yongfeng, Xingbing Wu, Yongjiu Zhu, Haocheng Li, Xuemei Li, and Deguo Yang. "Effect of rearing temperature on growth and thermal tolerance of Schizothorax (Racoma) kozlovi larvae and juveniles." Journal of thermal biology 46 (2014): 24-30.</t>
  </si>
  <si>
    <t>Schizothorax</t>
  </si>
  <si>
    <t>kozlovi</t>
  </si>
  <si>
    <t>Schizothorax kozlovi</t>
  </si>
  <si>
    <t xml:space="preserve">body_mass and body_length were averaged between the treatments compared. Acc_duration was taken as the age of the animals when tested minus the age at which they entered the acclimation treatment (12 d). </t>
  </si>
  <si>
    <t>Gervais_et_al_2020</t>
  </si>
  <si>
    <t>Population variation in the thermal response to climate change reveals differing sensitivity in a benthic shark</t>
  </si>
  <si>
    <t>10.1111/gcb.15422</t>
  </si>
  <si>
    <t>Gervais, Connor R., Charlie Huveneers, Jodie L. Rummer, and Culum Brown. "Population variation in the thermal response to climate change reveals differing sensitivity in a benthic shark." Global Change Biology 27, no. 1 (2021): 108-120.</t>
  </si>
  <si>
    <t>Chondrichthyes</t>
  </si>
  <si>
    <t>Heterodontiformes</t>
  </si>
  <si>
    <t>Heterodontidae</t>
  </si>
  <si>
    <t>Heterodontus</t>
  </si>
  <si>
    <t>portusjacksoni</t>
  </si>
  <si>
    <t>Heterodontus portusjacksoni</t>
  </si>
  <si>
    <t>Eggs were collected from the wild</t>
  </si>
  <si>
    <t>Eggs were collected from the wild so a portion of the development occurred outside controlled conditions. Season was taken to be "spring" because animals were collected in Ocotober and November in Australia. Body mass was averaged between the treatments compared. Development time was not reported so acc_duration was not reported.</t>
  </si>
  <si>
    <t>Floyd_1985</t>
  </si>
  <si>
    <t>Effects of Photoperiod and Starvation on the Temperature Tolerance of Larvae of the Giant Toad, Bufo marinus</t>
  </si>
  <si>
    <t>Copeia</t>
  </si>
  <si>
    <t>https://doi.org/10.2307/1444753</t>
  </si>
  <si>
    <t>Floyd, Robert B. "Effects of photoperiod and starvation on the temperature tolerance of larvae of the giant toad, Bufo marinus." Copeia (1985): 625-631.</t>
  </si>
  <si>
    <t xml:space="preserve">Endpoint was "the point at which movement could no longer be stimulated, even by prodding". Animals acclimated to 27C were acclimated for longer because it was the housing_temp. </t>
  </si>
  <si>
    <t>076_Floyd_1985_Fig2B</t>
  </si>
  <si>
    <t xml:space="preserve">Data for animals before the starvation experiment. Endpoint was "the point at which movement could no longer be stimulated, even by prodding". Animals acclimated to 27C were acclimated for longer because it was the housing_temp. </t>
  </si>
  <si>
    <t>Data digitised from figure. The figure presented 2*SE so we divided the digitised standard deviation values by two. Only data from groups that experienced similar starvation periods were included.</t>
  </si>
  <si>
    <t>Data for animals starved for 1 day. Endpoint was "the point at which movement could no longer be stimulated, even by prodding".</t>
  </si>
  <si>
    <t xml:space="preserve">Data for animals starved for 2 days. Endpoint was "the point at which movement could no longer be stimulated, even by prodding". Animals acclimated to 27C were acclimated for longer because it was the housing_temp. </t>
  </si>
  <si>
    <t xml:space="preserve">Data for animals starved for 5 days. Endpoint was "the point at which movement could no longer be stimulated, even by prodding". Animals acclimated to 27C were acclimated for longer because it was the housing_temp. </t>
  </si>
  <si>
    <t xml:space="preserve">Data for animals starved for 7 days. Endpoint was "the point at which movement could no longer be stimulated, even by prodding". Animals acclimated to 27C were acclimated for longer because it was the housing_temp. </t>
  </si>
  <si>
    <t xml:space="preserve">Data for animals starved for 9 days. Endpoint was "the point at which movement could no longer be stimulated, even by prodding". Animals acclimated to 27C were acclimated for longer because it was the housing_temp. </t>
  </si>
  <si>
    <t xml:space="preserve">Data for animals starved for 12 days. Endpoint was "the point at which movement could no longer be stimulated, even by prodding". Animals acclimated to 27C were acclimated for longer because it was the housing_temp. </t>
  </si>
  <si>
    <t xml:space="preserve">Treatments re-used in stepwise comparisons. Two populations (Florida, Wiscosin) and two hybrid populations (mother Florida or Wisconsin x father Florida or Wisconsin) were used in this study. Because the hybrid populations are not independent, the population_ID was taken as the population_ID of the mothers used to produce the F1 individuals. </t>
  </si>
  <si>
    <t>Fields_et_al_1987</t>
  </si>
  <si>
    <t>Critical and Chronic Thermal Maxima of Northern and Florida Largemouth Bass and Their Reciprocal F1 and F2 Hybrids</t>
  </si>
  <si>
    <t>10.1577/1548-8659(1987)116&lt;856:CACTMO&gt;2.0.CO;2</t>
  </si>
  <si>
    <t>Fields, Robert, Shirley S. Lowe, Christine Kaminski, Gregory S. Whitt, and David P. Philipp. "Critical and chronic thermal maxima of northern and Florida largemouth bass and their reciprocal F1 and F2 hybrids." Transactions of the American Fisheries Society 116, no. 6 (1987): 856-863.</t>
  </si>
  <si>
    <t xml:space="preserve">Data for F1 animals originating from parents taken from Bone Lake, Wisconsin (northern, N). Coordinates approximated from Google Maps using the name of the lakes provided.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</si>
  <si>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 xml:space="preserve">Data for F1 animals originating from mothers taken from Bone Lake, Wisconsin (northern, N), and fathers taken from Lake Dora, Florida (F). Coordinates were not taken because individuals originating two separate populations were used.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</si>
  <si>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 xml:space="preserve">Data for F1 animals originating from fathers taken from Bone Lake, Wisconsin (northern, N), and mothers taken from Lake Dora, Florida (F). Coordinates were not taken because individuals originating two separate populations were used.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</si>
  <si>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 xml:space="preserve">Data for F1 animals originating from parents taken from Lake Dora, Florida (F). Coordinates approximated from Google Maps using the name of the lakes provided.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</si>
  <si>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Faleiro_et_al_2016</t>
  </si>
  <si>
    <t>Small pelagics in a changing ocean: biological responses of sardine early stages to warming</t>
  </si>
  <si>
    <t>10.1093/conphys/cow017</t>
  </si>
  <si>
    <t>Faleiro, Filipa, Marta Pimentel, Maria Rita Pegado, Regina Bispo, Ana Rita Lopes, Mário S. Diniz, and Rui Rosa. "Small pelagics in a changing ocean: biological responses of sardine early stages to warming." Conservation physiology 4, no. 1 (2016).</t>
  </si>
  <si>
    <t>Sardina</t>
  </si>
  <si>
    <t>pilchardus</t>
  </si>
  <si>
    <t>Sardina pilchardus</t>
  </si>
  <si>
    <t>Animals were collected "between 2009 and 2011" so year was taken as "2010". Coordinates were not taken because too approximate. Animals were acclimated for "1 month", which was taken as 30 days. Acc_temp_var was averaged between the treatments compared. mobility was taken as "mobile" because the acclimation spanned both mobile and immobile life stages.</t>
  </si>
  <si>
    <t>Data taken from the main text (results section).</t>
  </si>
  <si>
    <t>Dulger_et_al_2012</t>
  </si>
  <si>
    <t>Thermal tolerance of European Sea Bass (Dicentrarchus labrax) juveniles acclimated to three temperature levels</t>
  </si>
  <si>
    <t>10.1016/j.jtherbio.2011.11.003</t>
  </si>
  <si>
    <t>Dülger, Nafiye, Metin Kumlu, Serhat Türkmen, Abdullatif Ölçülü, O. Tufan Eroldoğan, H. Asuman Yılmaz, and Noyan Öçal. "Thermal tolerance of European Sea Bass (Dicentrarchus labrax) juveniles acclimated to three temperature levels." Journal of Thermal Biology 37, no. 1 (2012): 79-82.</t>
  </si>
  <si>
    <t xml:space="preserve">Animals acclimated to 15C were acclimated for a longer duration than animals acclimated to 20C because it was the housing_temp. Body mass was averaged between treatments groups (see original values in Tab 1). </t>
  </si>
  <si>
    <t xml:space="preserve">Body mass was averaged between treatments groups (see original values in Tab 1). </t>
  </si>
  <si>
    <t>Diaz-Herrera_et_al_1998</t>
  </si>
  <si>
    <t>Critical thermal maxima and minima of Macrobrachium rosenbergii (Decapoda: Palaemonidae)</t>
  </si>
  <si>
    <t>https://doi.org/10.1016/S0306-4565(98)00029-1</t>
  </si>
  <si>
    <t>Herrera, Fernando Dı́az, Elizabeth Sierra Uribe, L. Fernando Bückle Ramirez, and Arturo Garrido Mora. "Critical thermal maxima and minima of Macrobrachium rosenbergii (Decapoda: Palaemonidae)." Journal of Thermal Biology 23, no. 6 (1998): 381-385.</t>
  </si>
  <si>
    <t>Palaemonidae</t>
  </si>
  <si>
    <t>Macrobrachium</t>
  </si>
  <si>
    <t>rosenbergii</t>
  </si>
  <si>
    <t>Macrobrachium rosenbergii</t>
  </si>
  <si>
    <t>Data for postlarvae. Endpoint was the temperature at which animals experience "total disorientation". Coordinates not taken because too aproximate. Body_mass was taken as the mean of the range presented (0.08-0.2), and was the body mass before acclimation.</t>
  </si>
  <si>
    <t>Data taken from table. Sample size was taken as the number of animals tested for each life stage (300) divided by the number of acclimation temperatures (5). Confidence intervals were converted back to SE by dividing them by 1.96, and SE was then converted to SD.</t>
  </si>
  <si>
    <t>Treatments were acclimated for different durations. Body mass before acclimation.</t>
  </si>
  <si>
    <t>Data for postlarvae. Endpoint was the temperature at which animals experience "total disorientation". Coordinates not taken because too aproximate. Body_mass was taken as the mean of the range presented (0.08-0.2), and was the body mass before acclimation. Animals acclimated to 29C were acclimated for longer because it was the housing_temp.</t>
  </si>
  <si>
    <t xml:space="preserve">Data for juveniles. Endpoint was the temperature at which animals experience "total disorientation". Coordinates not taken because too aproximate. Body_mass was taken as the mean of the range presented (0.6-1.7), and was the body mass before acclimation. </t>
  </si>
  <si>
    <t>Data for juveniles. Endpoint was the temperature at which animals experience "total disorientation". Coordinates not taken because too aproximate. Body_mass was taken as the mean of the range presented (0.08-0.2), and was the body mass before acclimation. Animals acclimated to 29C were acclimated for longer because it was the housing_temp.</t>
  </si>
  <si>
    <t>Debnath_et_al_2006</t>
  </si>
  <si>
    <t>Thermal tolerance and metabolic activity of yellowtail catfish Pangasius pangasius (Hamilton) advanced fingerlings with emphasis on their culture potential</t>
  </si>
  <si>
    <t>10.1016/j.aquaculture.2006.04.037</t>
  </si>
  <si>
    <t>Debnath, D., A. K. Pal, N. P. Sahu, K. Baruah, S. Yengkokpam, T. Das, and S. M. Manush. "Thermal tolerance and metabolic activity of yellowtail catfish Pangasius pangasius (Hamilton) advanced fingerlings with emphasis on their culture potential." Aquaculture 258, no. 1-4 (2006): 606-610.</t>
  </si>
  <si>
    <t>Siluriformes</t>
  </si>
  <si>
    <t>Pangasiidae</t>
  </si>
  <si>
    <t>Pangasius</t>
  </si>
  <si>
    <t>pangasius</t>
  </si>
  <si>
    <t>Pangasius pangasius</t>
  </si>
  <si>
    <t xml:space="preserve">Data taken from the main text (results section). Although it is not directly indicated whether the error is SE, SD or 95%CI, values in Table 1 report standard errors so we assumed the error presented in the results section was also SE. Standard errors were converted to SD. </t>
  </si>
  <si>
    <t>Das_et_al_2005</t>
  </si>
  <si>
    <t>Thermal tolerance, growth and oxygen consumption of Labeo rohita fry (Hamilton, 1822) acclimated to four temperatures</t>
  </si>
  <si>
    <t>10.1016/j.jtherbio.2005.03.001</t>
  </si>
  <si>
    <t>Das, T., A. K. Pal, S. K. Chakraborty, S. M. Manush, N. P. Sahu, and S. C. Mukherjee. "Thermal tolerance, growth and oxygen consumption of Labeo rohita fry (Hamilton, 1822) acclimated to four temperatures." Journal of Thermal Biology 30, no. 5 (2005): 378-383.</t>
  </si>
  <si>
    <t xml:space="preserve">Body_mass and oxygen were averaged between treatments. Animals acclimated to 26C were acclimated for longer because it was the housing_temp. age_tested was taken as the age the fish arrived in the lab (10 dph) + 15 days of recovery + 60 days of acclimation. </t>
  </si>
  <si>
    <t xml:space="preserve">Body_mass and oxygen were averaged between treatments. age_tested was taken as the age the fish arrived in the lab (10 dph) + 15 days of recovery + 60 days of acclimation. </t>
  </si>
  <si>
    <t>Das_et_al_2004</t>
  </si>
  <si>
    <t>Thermal tolerance and oxygen consumption of Indian Major Carps acclimated to four temperatures</t>
  </si>
  <si>
    <t>10.1016/j.jtherbio.2004.02.001</t>
  </si>
  <si>
    <t>Das, T., A. K. Pal, S. K. Chakraborty, S. M. Manush, N. P. Sahu, and S. C. Mukherjee. "Thermal tolerance and oxygen consumption of Indian Major Carps acclimated to four temperatures" Journal of Thermal Biology 29 (2004): 157-163</t>
  </si>
  <si>
    <t>Cirrhinus</t>
  </si>
  <si>
    <t>mrigala</t>
  </si>
  <si>
    <t>Cirrhinus mrigala</t>
  </si>
  <si>
    <t>Body mass before acclimation. Treatments were acclimated for different durations.</t>
  </si>
  <si>
    <t xml:space="preserve">Body_mass was the body mass before the acclimation period of 30 days. </t>
  </si>
  <si>
    <t>Catla</t>
  </si>
  <si>
    <t>catla</t>
  </si>
  <si>
    <t>Catla catla</t>
  </si>
  <si>
    <t>Currie_et_al_1998</t>
  </si>
  <si>
    <t>Critical thermal minima and maxima of three freshwater game-fish species acclimated to constant temperatures</t>
  </si>
  <si>
    <t>https://doi.org/10.1023/A:1007447417546</t>
  </si>
  <si>
    <t>Currie, Rebecca J., Wayne A. Bennett, and Thomas L. Beitinger. "Critical thermal minima and maxima of three freshwater game-fish species acclimated to constant temperatures." Environmental Biology of fishes 51, no. 2 (1998): 187-200.</t>
  </si>
  <si>
    <t>Ictaluridae</t>
  </si>
  <si>
    <t xml:space="preserve"> Ictalurus</t>
  </si>
  <si>
    <t xml:space="preserve"> punctatus</t>
  </si>
  <si>
    <t xml:space="preserve"> Ictalurus punctatus</t>
  </si>
  <si>
    <t>Body mass and body length before acclimation.</t>
  </si>
  <si>
    <t xml:space="preserve">Body_mass and body_length were the morphology before the acclimation period of 20 days. </t>
  </si>
  <si>
    <t xml:space="preserve">Body_mass and body_length were the morphology before the acclimation period of 20 days. Age_tested was taken as the age of the animals when they arrived in the lab (6 weeks) + the acc_duration. </t>
  </si>
  <si>
    <t xml:space="preserve">Nine populations were used in this study. Treatments were re-used in stepwise comparisons. The same individuals were tested at 90dph and when they reached ~1g of body mass, hence the shared cohort_IDs. </t>
  </si>
  <si>
    <t>Chen_et_al_2013</t>
  </si>
  <si>
    <t>Optimum and maximum temperatures of sockeye salmon (Oncorhynchus nerka) populations hatched at different temperatures</t>
  </si>
  <si>
    <t>Canadian Journal of Zoology</t>
  </si>
  <si>
    <t>dx.doi.org/10.1139/cjz-2012-0300</t>
  </si>
  <si>
    <t>Chen, Z., K. Anttila, J. Wu, C. K. Whitney, S. G. Hinch, and A. P. Farrell. "Optimum and maximum temperatures of sockeye salmon (Oncorhynchus nerka) populations hatched at different temperatures." Canadian Journal of Zoology 91, no. 5 (2013): 265-274.</t>
  </si>
  <si>
    <t>nerka</t>
  </si>
  <si>
    <t>Oncorhynchus nerka</t>
  </si>
  <si>
    <t>Data for the "Harrison"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</si>
  <si>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taken from table. Sample size was taken as the mean of the range presented (20-24), except for fish from the Harrison population incubated at 16C (n=13). SE was converted to SD.</t>
  </si>
  <si>
    <t xml:space="preserve">Nine populations were used in this study. Treatments were re-used in stepwise comparisons. </t>
  </si>
  <si>
    <t>Data for the "Weaver"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</si>
  <si>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 xml:space="preserve">Nine populations were used in this study. The same individuals were tested at 90dph and when they reached ~1g of body mass, hence the shared cohort_IDs. </t>
  </si>
  <si>
    <t>Data for the "Gates"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</si>
  <si>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"Scotch"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</si>
  <si>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"Adams"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</si>
  <si>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"Chilko"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</si>
  <si>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"Horsefly"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</si>
  <si>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"Stellako"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</si>
  <si>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"Okanagan"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</si>
  <si>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"Harrison"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</si>
  <si>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taken from table. Sample size was taken as 19 because authors indicate that 19-20 fish were tested. SE was converted to SD.</t>
  </si>
  <si>
    <t>Data for the "Weaver"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</si>
  <si>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"Gates"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</si>
  <si>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"Scotch"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</si>
  <si>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"Adams"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</si>
  <si>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"Chilko"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</si>
  <si>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"Horsefly"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</si>
  <si>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"Stellako"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</si>
  <si>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"Okanagan"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</si>
  <si>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Chaterjee_et_al_2004</t>
  </si>
  <si>
    <t>Thermal tolerance and oxygen consumption of Labeo rohita and Cyprinus carpio early fingerlings acclimated to three different temperatures</t>
  </si>
  <si>
    <t>10.1016/j.jtherbio.2004.05.001</t>
  </si>
  <si>
    <t>Chatterjee, N., A. K. Pal, S. M. Manush, T. Das, and S. C. Mukherjee. "Thermal tolerance and oxygen consumption of Labeo rohita and Cyprinus carpio early fingerlings acclimated to three different temperatures." Journal of Thermal Biology 29, no. 6 (2004): 265-270.</t>
  </si>
  <si>
    <t>Cyprinus</t>
  </si>
  <si>
    <t>carpio</t>
  </si>
  <si>
    <t>Cyprinus carpio</t>
  </si>
  <si>
    <t xml:space="preserve">Animals acclimated to 30C were acclimated for longer because it was the housing_temp. The body mass was the body mass before the 30 day acclimation period. </t>
  </si>
  <si>
    <t>Buckley_and_Nufio_2014</t>
  </si>
  <si>
    <t>Elevational clines in the temperature dependence of insect performance and implications for ecological responses to climate change</t>
  </si>
  <si>
    <t>10.1093/conphys/cou035</t>
  </si>
  <si>
    <t>Buckley, Lauren B., and César R. Nufio. "Elevational clines in the temperature dependence of insect performance and implications for ecological responses to climate change." Conservation Physiology 2, no. 1 (2014).</t>
  </si>
  <si>
    <t>Orthoptera</t>
  </si>
  <si>
    <t>Acrididae</t>
  </si>
  <si>
    <t>Melanoplus</t>
  </si>
  <si>
    <t>sanguinipes</t>
  </si>
  <si>
    <t>Melanoplus sanguinipes</t>
  </si>
  <si>
    <t xml:space="preserve">Design unclear. </t>
  </si>
  <si>
    <t xml:space="preserve">Authors indicate that eggs were "placed in a 24 or 27C incubator" , "Upon hatching, egg containers were placed within rectangular […] containers", and "Adults were acclimated to 25C before commencing the performance measurements". However, it is not known when animals were brought to 25C, and for how long. </t>
  </si>
  <si>
    <t>Data taken from the main text (results section). 95% confidence intervals were converted to SE by dividing the values by 1.96, and SE was converted to SD. Sample sizes were taken as 31 based on the degrees of freedom presented when comparing the two groups ("F2,64")</t>
  </si>
  <si>
    <t>Time to death at different temperatures taken from Table 2. Data calculated by fitting a linear regression of log10(time to death) against the test temperatures according to Jorgensen et al. 2018,2021 and Rezende et al. 2014. The CTmax was estimated as the temperatures animals cannot withstand for longer than 60 minutes. The sample size was taken as the n_test_temp * n_replicates_per_temp. SE is presented instead of SD.</t>
  </si>
  <si>
    <t>RZ</t>
  </si>
  <si>
    <t>Different endpoints were measured on the same cohorts of animals, hence the shared cohort_IDs.</t>
  </si>
  <si>
    <t>Mascaro_et_al_2016</t>
  </si>
  <si>
    <t>Thermal tolerance and phenotypic plasticity in juvenile Hippocampus erectus Perry, 1810: Effect of acute and chronic exposure to contrasting temperatures</t>
  </si>
  <si>
    <t>http://dx.doi.org/10.1016/j.jembe.2016.07.005</t>
  </si>
  <si>
    <t>Mascaró, M., M. Amaral-Ruiz, I. Huipe-Zamora, G. Martínez-Moreno, N. Simoes, and C. Rosas. "Thermal tolerance and phenotypic plasticity in juvenile Hippocampus erectus Perry, 1810: effect of acute and chronic exposure to contrasting temperatures." Journal of experimental marine biology and ecology 483 (2016): 112-119.</t>
  </si>
  <si>
    <t>Syngnathiformes</t>
  </si>
  <si>
    <t>Syngnathidae</t>
  </si>
  <si>
    <t>Hippocampus</t>
  </si>
  <si>
    <t>erectus</t>
  </si>
  <si>
    <t>Hippocampus erectus</t>
  </si>
  <si>
    <t>non-gravid</t>
  </si>
  <si>
    <t xml:space="preserve">Reproduction mode was considered as "viviparous" because males carry eggs and the embryo incubation is experienced through the parent. endpoint was considered to be the "stress" phase (see table 2 for details). Seahorses were collected from two males, not clear whether treatments contained a mix of juvenile seahorses from both males or whether they remained in separate treatments. The age of testing was determined from 4.5 months of standard protocol, followed by 4 days of preparation to acclimation and 30 days of acclimation. Body mass was taken as the mean progeny mass from both males. </t>
  </si>
  <si>
    <t>Mascaro_et_al_2017</t>
  </si>
  <si>
    <t>Thermal tolerance and phenotypic plasticity in juvenile Hippocampus erectus Perry, 1811: Effect of acute and chronic exposure to contrasting temperatures</t>
  </si>
  <si>
    <t>http://dx.doi.org/10.1016/j.jembe.2016.07.006</t>
  </si>
  <si>
    <t>Mascaró, M., M. Amaral-Ruiz, I. Huipe-Zamora, G. Martínez-Moreno, N. Simoes, and C. Rosas. "Thermal tolerance and phenotypic plasticity in juvenile Hippocampus erectus Perry, 1810: effect of acute and chronic exposure to contrasting temperatures." Journal of experimental marine biology and ecology 483 (2016): 112-120.</t>
  </si>
  <si>
    <t xml:space="preserve">Reproduction mode was considered as "viviparous" because males carry eggs and the embryo incubation is experienced through the parent; endpoint was considered to be the "disorganised locomotive activity" phase (see table 2 for details). Seahorses were collected from two males, not clear whether treatments contained a mix of juvenile seahorses from both males or whether they remained in separate treatments. The age of testing was determined from 4.5 months of standard protocol, followed by 4 days of preparation to acclimation and 30 days of acclimation. Body mass was taken as the mean progeny mass from both males. </t>
  </si>
  <si>
    <t>Mascaro_et_al_2018</t>
  </si>
  <si>
    <t>Thermal tolerance and phenotypic plasticity in juvenile Hippocampus erectus Perry, 1812: Effect of acute and chronic exposure to contrasting temperatures</t>
  </si>
  <si>
    <t>http://dx.doi.org/10.1016/j.jembe.2016.07.007</t>
  </si>
  <si>
    <t>Mascaró, M., M. Amaral-Ruiz, I. Huipe-Zamora, G. Martínez-Moreno, N. Simoes, and C. Rosas. "Thermal tolerance and phenotypic plasticity in juvenile Hippocampus erectus Perry, 1810: effect of acute and chronic exposure to contrasting temperatures." Journal of experimental marine biology and ecology 483 (2016): 112-121.</t>
  </si>
  <si>
    <t xml:space="preserve">Reproduction mode was considered as "viviparous" because males carry eggs and the embryo incubation is experienced through the parent; endpoint was considered to be the "spasms" phase (see table 2 for details). Seahorses were collected from two males, not clear whether treatments contained a mix of juvenile seahorses from both males or whether they remained in separate treatments. The age of testing was determined from 4.5 months of standard protocol, followed by 4 days of preparation to acclimation and 30 days of acclimation. Body mass was taken as the mean progeny mass from both males. </t>
  </si>
  <si>
    <t>RZ/PP</t>
  </si>
  <si>
    <t xml:space="preserve">Treatments re-used in stepwise comparisons. It was unclear whether the different endpoints were measured on the same cohorts of animals. As a conservative measure, the same cohort_IDs were assigned. Fish from 1995 and 1996 were considered as different families, but the same population. </t>
  </si>
  <si>
    <t>077_Myrick_1998_Fig4</t>
  </si>
  <si>
    <t>Myrick_1998</t>
  </si>
  <si>
    <t>Temperature, genetic, and ration effects on juvenile rainbow trout (Oncorhynchus mykiss) bioenergetics</t>
  </si>
  <si>
    <t>Myrick, Christopher Alexander. Temperature, genetic, and ration effects on juvenile rainbow trout (Oncorhynchus mykiss) bioenergetics. University of California, Davis, 1998.</t>
  </si>
  <si>
    <t xml:space="preserve">Data for the fish taken from the hatchery in 1996. Body mass (final) was digitised from figure 2 and averaged between treatments. </t>
  </si>
  <si>
    <t>Data digitised from figure. Sample sizes were not provided. SE is presented instead of SD.</t>
  </si>
  <si>
    <t xml:space="preserve">Data for the fish taken from the hatchery in 1996.  Body mass (final) was digitised from figure 2 and averaged between treatments. </t>
  </si>
  <si>
    <t xml:space="preserve">Data for the fish taken from the hatchery in 1995. Body mass (final) was digitised from figure 2 and averaged between treatments. </t>
  </si>
  <si>
    <t xml:space="preserve">Treatments re-used in stepwise comparisons. Fish from 1995 and 1996 were considered as different families, but the same population. </t>
  </si>
  <si>
    <t>Myrick_and_Cech_2000</t>
  </si>
  <si>
    <t>Temperature influences on California rainbow trout physiological performance</t>
  </si>
  <si>
    <t>https://doi.org/10.1023/A:1007805322097</t>
  </si>
  <si>
    <t>Myrick, C. A., and J. J. Cech. "Temperature influences on California rainbow trout physiological performance." Fish Physiology and Biochemistry 22, no. 3 (2000): 245-254.</t>
  </si>
  <si>
    <t>Eagle lake populations taken from the hatchery in 1995. Body masses were averaged between treatments.</t>
  </si>
  <si>
    <t>Myrick_and_Cech_2002</t>
  </si>
  <si>
    <t>Myrick, C. A., and J. J. Cech. "Temperature influences on California rainbow trout physiological performance." Fish Physiology and Biochemistry 22, no. 3 (2000): 245-256.</t>
  </si>
  <si>
    <t>Myrick_and_Cech_2003</t>
  </si>
  <si>
    <t>Myrick, C. A., and J. J. Cech. "Temperature influences on California rainbow trout physiological performance." Fish Physiology and Biochemistry 22, no. 3 (2000): 245-257.</t>
  </si>
  <si>
    <t>Mt. Shasta populations taken from the hatchery in 1995. Body masses were averaged between treatments.</t>
  </si>
  <si>
    <t>Eagle lake populations taken from the hatchery in 1996. Body masses were averaged between treatments.</t>
  </si>
  <si>
    <t>Mt. Shasta populations taken from the hatchery in 1996. Body masses were averaged between treatments.</t>
  </si>
  <si>
    <t>RZ</t>
    <phoneticPr fontId="0" type="noConversion"/>
  </si>
  <si>
    <t>Noyola_et_al_2013</t>
  </si>
  <si>
    <t>Thermopreference, tolerance and metabolic rate of early stages juvenile Octopus maya acclimated to different temperatures</t>
  </si>
  <si>
    <t>http://dx.doi.org/10.1016/j.jtherbio.2012.09.001</t>
  </si>
  <si>
    <t>Noyola, Javier, Claudia Caamal-Monsreal, Fernando Díaz, Denisse Re, Adolfo Sanchez, and Carlos Rosas. "Thermopreference, tolerance and metabolic rate of early stages juvenile Octopus maya acclimated to different temperatures." Journal of thermal biology 38, no. 1 (2013): 14-19.</t>
  </si>
  <si>
    <t>Octopodidae</t>
  </si>
  <si>
    <t>Octopus</t>
  </si>
  <si>
    <t>maya</t>
  </si>
  <si>
    <t>Octopus maya</t>
  </si>
  <si>
    <t>no</t>
    <phoneticPr fontId="0" type="noConversion"/>
  </si>
  <si>
    <t>mobile</t>
    <phoneticPr fontId="0" type="noConversion"/>
  </si>
  <si>
    <t>yes</t>
    <phoneticPr fontId="0" type="noConversion"/>
  </si>
  <si>
    <t>other</t>
    <phoneticPr fontId="0" type="noConversion"/>
  </si>
  <si>
    <t xml:space="preserve">"ink release" was the endpoint of CTmax. Organism age was estimated with the assumption that CTmax trials occurred immediately after the 20 day acclimation period. Oxygen and salinity parameters during CTmax testing were assumed to be the same as those during the acclimation period. </t>
  </si>
  <si>
    <t>Data taken from table. 95% confidence intervals were converted to SE by dividing them by 1.96 and SE was converted to SD.</t>
  </si>
  <si>
    <t>Orille_et_al_2020</t>
  </si>
  <si>
    <t>Positive Effects of Acclimation Temperature on the Critical Thermal Maxima of Ambystoma mexicanum and Xenopus laevis</t>
  </si>
  <si>
    <t>Journal of Herpetology</t>
  </si>
  <si>
    <t>10.1670/19-080</t>
  </si>
  <si>
    <t>Orille, Alex C., Ryan B. McWhinnie, Sean P. Brady, and Thomas R. Raffel. "Positive Effects of Acclimation Temperature on the Critical Thermal Maxima of Ambystoma mexicanum and Xenopus laevis." Journal of Herpetology 54, no. 3 (2020): 289-292.</t>
  </si>
  <si>
    <t>Urodela</t>
  </si>
  <si>
    <t>Ambystomatidae</t>
  </si>
  <si>
    <t>Ambystoma</t>
  </si>
  <si>
    <t>mexicanum</t>
  </si>
  <si>
    <t>Ambystoma mexicanum</t>
  </si>
  <si>
    <t>LRR</t>
    <phoneticPr fontId="0" type="noConversion"/>
  </si>
  <si>
    <t xml:space="preserve">acc_temp_var was taken as the average in acclimation temperature variation between 8°C and 24°C. Standard deviation of heat tolerance was calculated from the SE and n values provided in Table 1. body_mass was taken as the average of body mass across both acclimation temperatures. </t>
  </si>
  <si>
    <t xml:space="preserve">Treatments were re-used in stepwise comparisons. The same animals were used to measure LRR and OS, hence the shared cohort_IDs. </t>
  </si>
  <si>
    <t>Perez_et_al_2003</t>
  </si>
  <si>
    <t>Thermoregulatory behavior and critical thermal limits of the angelfish Pterophyllum scalare (Lichtenstein) (Pisces: Cichlidae)</t>
  </si>
  <si>
    <t>10.1016/S0306-4565(03)00055-X</t>
  </si>
  <si>
    <t>Pérez, Estela, Fernando Dı́az, and Sonia Espina. "Thermoregulatory behavior and critical thermal limits of the angelfish Pterophyllum scalare (Lichtenstein)(Pisces: Cichlidae)." Journal of Thermal Biology 28, no. 8 (2003): 531-537.</t>
  </si>
  <si>
    <t>Pterophyllum</t>
  </si>
  <si>
    <t>scalare</t>
  </si>
  <si>
    <t>Pterophyllum scalare</t>
  </si>
  <si>
    <t>Oxygen and salinity parameters during CTmax testing were assumed to be the same as those during the acclimation period. Housing parameters (e.g. water temp, oxygen levels) were taken as the midpoint of the ranges given in the text. Body mass before acclimation was taken, and taken as the mean of the range presented (0.9-1.9g).</t>
  </si>
  <si>
    <t>Data taken from table. 95% confidence intervals were converted to SE by dividing them by 1.96 and SE was converted to SD. Sample sizes were approximated by dividing the total sample size in each size class by the number of acclimation temperatures.</t>
  </si>
  <si>
    <t>Perez_et_al_2004</t>
  </si>
  <si>
    <t>10.1016/S0306-4565(03)00056-X</t>
  </si>
  <si>
    <t>Pérez, Estela, Fernando Dı́az, and Sonia Espina. "Thermoregulatory behavior and critical thermal limits of the angelfish Pterophyllum scalare (Lichtenstein)(Pisces: Cichlidae)." Journal of Thermal Biology 28, no. 8 (2003): 531-538.</t>
  </si>
  <si>
    <t>Perez_et_al_2006</t>
  </si>
  <si>
    <t>10.1016/S0306-4565(03)00058-X</t>
  </si>
  <si>
    <t>Pérez, Estela, Fernando Dı́az, and Sonia Espina. "Thermoregulatory behavior and critical thermal limits of the angelfish Pterophyllum scalare (Lichtenstein)(Pisces: Cichlidae)." Journal of Thermal Biology 28, no. 8 (2003): 531-540.</t>
  </si>
  <si>
    <t>Perez_et_al_2007</t>
  </si>
  <si>
    <t>10.1016/S0306-4565(03)00059-X</t>
  </si>
  <si>
    <t>Pérez, Estela, Fernando Dı́az, and Sonia Espina. "Thermoregulatory behavior and critical thermal limits of the angelfish Pterophyllum scalare (Lichtenstein)(Pisces: Cichlidae)." Journal of Thermal Biology 28, no. 8 (2003): 531-541.</t>
  </si>
  <si>
    <t>OS</t>
    <phoneticPr fontId="0" type="noConversion"/>
  </si>
  <si>
    <t>Perez_et_al_2010</t>
  </si>
  <si>
    <t>10.1016/S0306-4565(03)00062-X</t>
  </si>
  <si>
    <t>Pérez, Estela, Fernando Dı́az, and Sonia Espina. "Thermoregulatory behavior and critical thermal limits of the angelfish Pterophyllum scalare (Lichtenstein)(Pisces: Cichlidae)." Journal of Thermal Biology 28, no. 8 (2003): 531-544.</t>
  </si>
  <si>
    <t>Perez_et_al_2012</t>
  </si>
  <si>
    <t>10.1016/S0306-4565(03)00064-X</t>
  </si>
  <si>
    <t>Pérez, Estela, Fernando Dı́az, and Sonia Espina. "Thermoregulatory behavior and critical thermal limits of the angelfish Pterophyllum scalare (Lichtenstein)(Pisces: Cichlidae)." Journal of Thermal Biology 28, no. 8 (2003): 531-546.</t>
  </si>
  <si>
    <t xml:space="preserve">The same animals were used to measure OS and heat coma temperatures, hence the shared cohort_IDs. </t>
  </si>
  <si>
    <t>Piyaphongkul_et_al_2018</t>
  </si>
  <si>
    <t>Thermal acclimation capacity of Jack Beardsley mealybug (Pseudococcus jackbeardsleyi) to survive in a warming world</t>
  </si>
  <si>
    <t>Journal of Asia-Pacific Entomology</t>
  </si>
  <si>
    <t>https://doi.org/10.1016/j.aspen.2018.05.003</t>
  </si>
  <si>
    <t>Piyaphongkul, J., P. Suraksakul, N. Tangchitsomkid, and S. Sahaya. "Thermal acclimation capacity of Jack Beardsley mealybug (Pseudococcus jackbeardsleyi) to survive in a warming world." Journal of Asia-Pacific Entomology 21, no. 2 (2018): 737-742.</t>
  </si>
  <si>
    <t>Pseudococcidae</t>
  </si>
  <si>
    <t>Pseudococcus</t>
  </si>
  <si>
    <t>jackbeardsleyi</t>
  </si>
  <si>
    <t>Pseudococcus jackbeardsleyi</t>
  </si>
  <si>
    <t xml:space="preserve">Coordinates not taken because too approximate. Ramping rate was 0.5°C/min prior to 35°C and 0.1°C/min thereafter. Ramping was taken to as the latest rate (0.1) because all animals reached CTmax above 35C. </t>
  </si>
  <si>
    <t>Coordinates not taken because too approximate. Ramping rate was 0.5°C/min prior to 35°C and 0.1°C/min thereafter. Ramping was taken to as the latest rate (0.1) because all animals reached CTmax above 35C. Endpoint was the "heat coma" temperature.</t>
  </si>
  <si>
    <t>Porter_2016</t>
  </si>
  <si>
    <t>Thermal Niche Requirements of the White-Spotted Bamboo Shark Chiloscyllium plagiosum</t>
  </si>
  <si>
    <t>Porter, Zoë Caitlin. Thermal Niche Requirements of the White-Spotted Bamboo Shark Chiloscyllium plagiosum. The University of West Florida, 2020.</t>
  </si>
  <si>
    <t>Orectolobiformes</t>
  </si>
  <si>
    <t>Hemiscylliidae</t>
  </si>
  <si>
    <t>Chiloscyllium</t>
  </si>
  <si>
    <t>plagiosum</t>
  </si>
  <si>
    <t>Chiloscyllium plagiosum</t>
  </si>
  <si>
    <t>SeaWorld</t>
  </si>
  <si>
    <t>starved</t>
    <phoneticPr fontId="0" type="noConversion"/>
  </si>
  <si>
    <t>SD possibly under-estimated.</t>
  </si>
  <si>
    <t>Data taken from table. Unclear whether SD or SE were presented. Errors were assumed to be SE as a conservative measure, and were converted to SD.</t>
  </si>
  <si>
    <t>Porter_2019</t>
  </si>
  <si>
    <t>Porter, Zoë Caitlin. Thermal Niche Requirements of the White-Spotted Bamboo Shark Chiloscyllium plagiosum. The University of West Florida, 2023.</t>
  </si>
  <si>
    <t>Porter_2021</t>
  </si>
  <si>
    <t>Porter, Zoë Caitlin. Thermal Niche Requirements of the White-Spotted Bamboo Shark Chiloscyllium plagiosum. The University of West Florida, 2025.</t>
  </si>
  <si>
    <t>Re_et_al_2006</t>
  </si>
  <si>
    <t>Effect of salinity on the thermoregulatory behavior of juvenile blue shrimp Litopenaeus stylirostris Stimpson</t>
  </si>
  <si>
    <t>10.1016/j.jtherbio.2006.05.004</t>
  </si>
  <si>
    <t>Re, Ana Denisse, Fernando Díaz, and Gustavo Valdez. "Effect of salinity on the thermoregulatory behavior of juvenile blue shrimp Litopenaeus stylirostris Stimpson." Journal of Thermal Biology 31, no. 6 (2006): 506-513.</t>
  </si>
  <si>
    <t>stylirostris</t>
  </si>
  <si>
    <t>Litopenaeus stylirostris</t>
  </si>
  <si>
    <t xml:space="preserve">SD missing. </t>
  </si>
  <si>
    <t xml:space="preserve">Data taken from table. 95% confidence intervals were converted to SE by dividing them by 1.96 and SE was converted to SD. Confidence interval was reported as "0" so it was reported as "NA". </t>
  </si>
  <si>
    <t xml:space="preserve">Data taken from table. 95% confidence intervals were converted to SE by dividing them by 1.96 and SE was converted to SD. </t>
  </si>
  <si>
    <t>SD missing.</t>
  </si>
  <si>
    <t xml:space="preserve">Animals acclimated to 28C were acclimated for longer because it was the housing_temp. </t>
  </si>
  <si>
    <t>Rodgers_et_al_2019</t>
  </si>
  <si>
    <t>Stressor interactions in freshwater habitats: Effects of cold water exposure and food limitation on early-­life growth and upper thermal tolerance in white sturgeon, Acipenser transmontanus</t>
  </si>
  <si>
    <t>10.1111/fwb.13224</t>
  </si>
  <si>
    <t>Rodgers, Essie M., Anne E. Todgham, Richard E. Connon, and Nann A. Fangue. "Stressor interactions in freshwater habitats: Effects of cold water exposure and food limitation on early‐life growth and upper thermal tolerance in white sturgeon, Acipenser transmontanus." Freshwater Biology 64, no. 2 (2019): 348-358.</t>
  </si>
  <si>
    <t>LOE</t>
    <phoneticPr fontId="0" type="noConversion"/>
  </si>
  <si>
    <t>Data for animals with a 100% optimal feed rate. Age of juveniles at testing ranged from 77-80 days post-hatching and was taken to be 78.5 days. Animals acclimated to 18C were acclimated for longer because it was the housing_temp. Body mass was averaged between treatments.</t>
  </si>
  <si>
    <t>Data for animals with a 40% optimal feed rate, which seems to be an ecologically-relevant condition. Age of juveniles at testing ranged from 77-80 days post-hatching and was taken to be 78.5 days. Animals acclimated to 18C were acclimated for longer because it was the housing_temp. Body mass was averaged between treatments.</t>
  </si>
  <si>
    <t>TabA4</t>
  </si>
  <si>
    <t>Ruthsatz_et_al_2018</t>
  </si>
  <si>
    <t>Thyroid hormone levels and temperature during development alter thermal tolerance and energetics of Xenopus laevis larvae</t>
  </si>
  <si>
    <t>10.1093/conphys/coy059</t>
  </si>
  <si>
    <t>Ruthsatz, Katharina, Kathrin H. Dausmann, Myron A. Peck, Claudia Drees, Nikita M. Sabatino, Laura I. Becker, Janica Reese, Lisa Hartmann, and Julian Glos. "Thyroid hormone levels and temperature during development alter thermal tolerance and energetics of Xenopus laevis larvae." Conservation physiology 6, no. 1 (2018): coy059.</t>
  </si>
  <si>
    <t>Pipidae</t>
  </si>
  <si>
    <t>Xenopus</t>
  </si>
  <si>
    <t>laevis</t>
  </si>
  <si>
    <t>Xenopus laevis</t>
  </si>
  <si>
    <t>This study manipulated levels of the thyroid hormone as well as the acclimation temperature, and effect sizes were only generated from the control treatment with no hormone manipulation. Body mass was taken as the average body mass at the onset of metamorphosis across between treatments (see Tab A1 for original values). The species was considered "aquatic" because the life stage tested is aquatic. Acc_temp_var was averaged between treatments.</t>
  </si>
  <si>
    <t>Tab5</t>
  </si>
  <si>
    <t>Ruthsatz_et_al_2020</t>
  </si>
  <si>
    <t>Post‐metamorphic carry‐over effects of altered thyroid hormone level and developmental temperature: physiological plasticity and body condition at two life stages in Rana temporaria</t>
  </si>
  <si>
    <t>https://doi.org/10.1007/s00360-020-01271-8</t>
  </si>
  <si>
    <t>Ruthsatz, Katharina, Kathrin H. Dausmann, Steffen Reinhardt, Tom Robinson, Nikita M. Sabatino, Myron A. Peck, and Julian Glos. "Post-metamorphic carry-over effects of altered thyroid hormone level and developmental temperature: physiological plasticity and body condition at two life stages in Rana temporaria." Journal of Comparative Physiology B 190, no. 3 (2020): 297-315.</t>
  </si>
  <si>
    <t>Ranidae</t>
  </si>
  <si>
    <t>Rana</t>
  </si>
  <si>
    <t>temporaria</t>
  </si>
  <si>
    <t>Rana temporaria</t>
  </si>
  <si>
    <t>This study manipulated internal TH levels in larvae alongside acclimation temperature, and effect sizes were only generated from the control treatment with no hormone manipulation. The species was considered "aquatic" because the life stage tested is aquatic. Eggs were collected from the wild so a portion of the development occurred outside controlled conditions. Body mass was averaged between treatments (see original values in Tab 4). acc_temp_var was averaged between treatments.</t>
  </si>
  <si>
    <t>Stoler_2012</t>
  </si>
  <si>
    <t>Affects of Acclimation Temperature on the Critical Thermal Maxima and Minima of the Little Skate, Leucoraja Erinacea</t>
  </si>
  <si>
    <t>Stoler, Sarah Rose. "Affects of Acclimation Temperature on the Critical Thermal Maxima and Minima of the Little Skate, Leucoraja Erinacea." PhD diss., University of West Florida, 2015.</t>
  </si>
  <si>
    <t>Rajiformes</t>
  </si>
  <si>
    <t>Rajidae</t>
  </si>
  <si>
    <t>Leucoraja</t>
  </si>
  <si>
    <t>erinacea</t>
  </si>
  <si>
    <t>Leucoraja erinacea</t>
  </si>
  <si>
    <t xml:space="preserve">Endpoint was designated as the cessation of spiracle movement. Body mass and body length were averaged between treatments. </t>
  </si>
  <si>
    <t>Endpoint was designated as the cessation of spiracle movement. Body mass and body length were averaged between treatments. Animals acclimated to 15C were acclimated for longer because it was the housing temperature.</t>
  </si>
  <si>
    <t>Treatments were re-used in stepwise comparisons. Three populations were used in this study.</t>
  </si>
  <si>
    <t>main text and Tab1</t>
  </si>
  <si>
    <t>Underwood_et_al_2012</t>
  </si>
  <si>
    <t>Effect of acclimation temperature on the upper thermal tolerance of Colorado River cutthroat trout Oncorhynchus clarkii pleuriticus: thermal limits of a North American salmonid</t>
  </si>
  <si>
    <t>10.1111/j.1095-8649.2012.03287.x</t>
  </si>
  <si>
    <t>Underwood, Z. E., C. A. Myrick, and K. B. Rogers. "Effect of acclimation temperature on the upper thermal tolerance of Colorado River cutthroat trout Oncorhynchus clarkii pleuriticus: thermal limits of a North American salmonid." Journal of Fish Biology 80, no. 7 (2012): 2420-2433.</t>
  </si>
  <si>
    <t xml:space="preserve">Data for the "Lake Nanita" population. Coordinates were approximated from Google Earth. Acc_temp_var was averaged between treatments. Fish were acclimated to their respective temperatures for 39 to 45 days, and this was averaged under acc_duration. Housing_temp was taken as the mean of the range presented (10-12C). Body(wet)  mass and body length (standard length) were averaged betwen treatments (see original values in Tab 1). </t>
  </si>
  <si>
    <t>Three populations were used in this study.</t>
  </si>
  <si>
    <t xml:space="preserve">Data for the "Carr Creek" population. Coordinates could not be approximated from Google Earth for this population. Acc_temp_var was averaged between treatments. Fish were acclimated to their respective temperatures for 39 to 45 days, and this was averaged under acc_duration. Housing_temp was taken as the mean of the range presented (10-12C). Body(wet)  mass and body length (standard length) were averaged betwen treatments (see original values in Tab 1). </t>
  </si>
  <si>
    <t xml:space="preserve">Data for the "Trapper Creek" population. Coordinates could not be approximated from Google Earth for this population. Acc_temp_var was averaged between treatments. Fish were acclimated to their respective temperatures for 39 to 45 days, and this was averaged under acc_duration. Housing_temp was taken as the mean of the range presented (10-12C). Body(wet)  mass and body length (standard length) were averaged betwen treatments (see original values in Tab 1). </t>
  </si>
  <si>
    <t>Walsh_et_al_1998</t>
  </si>
  <si>
    <t>Physiological tolerances of juvenile robust redhorse, Moxostoma robustum: conservation implications for an imperiled species</t>
  </si>
  <si>
    <t>https://doi.org/10.1023/A:1007486632102</t>
  </si>
  <si>
    <t>Walsh, Stephen J., Dennis C. Haney, Cindy M. Timmerman, and Robert M. Dorazio. "Physiological tolerances of juvenile robust redhorse, Moxostoma robustum: conservation implications for an imperiled species." Environmental biology of fishes 51, no. 4 (1998): 429-444.</t>
  </si>
  <si>
    <t>Moxostoma</t>
  </si>
  <si>
    <t>robustum</t>
  </si>
  <si>
    <t>Moxostoma robustum</t>
  </si>
  <si>
    <t>Animals were collected in Spring 1993 and 1995. Because two sampling periods were presented, no "year" was presented here.</t>
  </si>
  <si>
    <t>Data taken from the main text (results section). SE was converted to SD.</t>
  </si>
  <si>
    <t>Treatments were re-used in stepwise comparisons.</t>
  </si>
  <si>
    <t>Wang_2014</t>
  </si>
  <si>
    <t>The effects of constant and variable thermal acclimation on thermal tolerance of the common giant toad tadpoles (Bufo gargarizans)</t>
  </si>
  <si>
    <t>10.5846/stxb201209271356</t>
  </si>
  <si>
    <t>Wang, L.Z. The effects of constant and variable thermal acclimation on thermal tolerance of the common giant toad tadpoles (Bufo gargarizans). Acta Ecologica Sinica 34 no. 4 (2014): 1030-1034</t>
  </si>
  <si>
    <t>Bufo</t>
  </si>
  <si>
    <t>gargarizans</t>
  </si>
  <si>
    <t>Bufo gargarizans</t>
  </si>
  <si>
    <t>The study was written in simplified Chinese so a translator (deepL.com/translator) was used to retrieve some of the information. Eggs were collected from the wild so a portion of the development occurred outside controlled conditions. Acc_duration not reported because there was no indication of the development time until hatching.</t>
  </si>
  <si>
    <t>Data taken from the main text (results section). Sample sizes were taken as the total number of individuals (N=150) divided by the number of acclimation temperatures (5). SE was converted to SD.</t>
  </si>
  <si>
    <t>Warriner_et_al_2020</t>
  </si>
  <si>
    <t>Mimicking Transgenerational Signals of Future Stress: Thermal Tolerance of Juvenile Chinook Salmon Is More Sensitive to Elevated Rearing Temperature Than Exogenously Increased Egg Cortisol</t>
  </si>
  <si>
    <t>Frontiers in Ecology and Evolution</t>
  </si>
  <si>
    <t>10.3389/fevo.2020.548939</t>
  </si>
  <si>
    <t>Warriner, Theresa R., Christina AD Semeniuk, Trevor E. Pitcher, Daniel D. Heath, and Oliver P. Love. "Mimicking Transgenerational Signals of Future Stress: Thermal Tolerance of Juvenile Chinook Salmon Is More Sensitive to Elevated Rearing Temperature Than Exogenously Increased Egg Cortisol." FRONTIERS IN ECOLOGY AND EVOLUTION 8 (2020).</t>
  </si>
  <si>
    <t>Not true acclimation temperatures, but the difference bettwen high and low is accurate.</t>
  </si>
  <si>
    <t xml:space="preserve">This experiment manipulated temperature as well as embryonic cortisol levels, and effect sizes were only extracted for treatments with control cortisol levels. The acclimation temperatures of 10 and 13 are arbitrary, but true acclimation regime involved a three degree temperature difference. acc_duration was based on the time different between fertilisation and CTmax assays. age_tested, however, could not be determined because the time to hatching was not presented. Body mass was averaged between treatments (see tab 2 for original values). </t>
  </si>
  <si>
    <t>Zhang_and_Kieffer_2014</t>
  </si>
  <si>
    <t>Critical thermal maximum (CTmax) and hematology of shortnose sturgeons (Acipenser brevirostrum) acclimated to three temperatures</t>
  </si>
  <si>
    <t>dx.doi.org/10.1139/cjz-2013-0223</t>
  </si>
  <si>
    <t>Zhang, Yueyang, and James D. Kieffer. "Critical thermal maximum (CTmax) and hematology of shortnose sturgeons (Acipenser brevirostrum) acclimated to three temperatures." Canadian journal of zoology 92, no. 3 (2014): 215-221.</t>
  </si>
  <si>
    <t>brevirostrum</t>
  </si>
  <si>
    <t>Acipenser brevirostrum</t>
  </si>
  <si>
    <t>Fish were acclimated for 2-3 weeks, and this was averaged as 17.5 days.</t>
  </si>
  <si>
    <t>Treatments were re-used in stepwise comparisons. The same animals were used to measure CTmax and LTmax, hence the shared cohort_IDs.</t>
  </si>
  <si>
    <t>Zhu_et_al_2019</t>
  </si>
  <si>
    <t>Growth and thermal tolerance of a Tibet fish Schizopygopsis younghusbandi juveniles acclimated to three temperature levels</t>
  </si>
  <si>
    <t>Journal of Applied Ichthyology</t>
  </si>
  <si>
    <t>10.1111/jai.13971</t>
  </si>
  <si>
    <t>Zhu, Tingbing, Xuemei Li, Xingbing Wu, and Deguo Yang. "Growth and thermal tolerance of a Tibet fish Schizopygopsis younghusbandi juveniles acclimated to three temperature levels." Journal of Applied Ichthyology 35, no. 6 (2019): 1281-1285.</t>
  </si>
  <si>
    <t>Schizopygopsis</t>
  </si>
  <si>
    <t>younghusbandi</t>
  </si>
  <si>
    <t>Schizopygopsis younghusbandi</t>
  </si>
  <si>
    <t xml:space="preserve">Animals acclimated to 15C were acclimated for longer because it was the housing_temp. Body mass was averaged between treatments (see original values in tab 1). </t>
  </si>
  <si>
    <t>Ziegeweid_et_al_2008</t>
  </si>
  <si>
    <t>Thermal maxima for juvenile shortnose sturgeon acclimated to different temperatures</t>
  </si>
  <si>
    <t>10.1007/s10641-007-9292-8</t>
  </si>
  <si>
    <t>Ziegeweid, Jeffrey R., Cecil A. Jennings, and Douglas L. Peterson. "Thermal maxima for juvenile shortnose sturgeon acclimated to different temperatures." Environmental Biology of Fishes 82, no. 3 (2008): 299-307.</t>
  </si>
  <si>
    <t>Body mass and body length were taken as the means of the ranges presented (0.6-35; 54-215 respectively).</t>
  </si>
  <si>
    <t>Bishai_1960</t>
  </si>
  <si>
    <t>Upper Lethal Temperatures for Larval Salmonids</t>
  </si>
  <si>
    <t>ICES Journal of Marine Science</t>
  </si>
  <si>
    <t>Bishai, H. M. "Upper lethal temperatures for larval salmonids." ICES Journal of Marine Science 25, no. 2 (1960): 129-133.</t>
  </si>
  <si>
    <t>trutta</t>
  </si>
  <si>
    <t>Salmo trutta</t>
  </si>
  <si>
    <t xml:space="preserve">Data for salmon. Animals acclimated to 5.5C were acclimated for longer because it was the housing_temp. </t>
  </si>
  <si>
    <t>Data for salmon. Unclear how long animals the animals in the 20C acclimation treatment were acclimated for (1 or 5 days).</t>
  </si>
  <si>
    <t xml:space="preserve">Time to death at different temperatures taken from Table 2. Data calculated by fitting a linear regression of log10(time to 50% mortality) against the test temperatures according to Jorgensen et al. 2018,2021 and Rezende et al. 2014. The CTmax was estimated as the temperatures animals cannot withstand for longer than 60 minutes. The sample size was taken as the n_test_temp * n_replicates_per_temp. The LT50 was technically possible to calculate but the standard error calculated from logistic regressions would be so large that the data is probably not accurate. </t>
  </si>
  <si>
    <t xml:space="preserve">Data for sea trout. Animals acclimated to 5.5C were acclimated for longer because it was the housing_temp. </t>
  </si>
  <si>
    <t xml:space="preserve">Data for brown trout. Animals acclimated to 5.5C were acclimated for longer because it was the housing_temp. </t>
  </si>
  <si>
    <t>Data for sea trout. Unclear how long animals the animals in the 20C acclimation treatment were acclimated for (1 or 5 days).</t>
  </si>
  <si>
    <t>Data for brown trout. Unclear how long animals the animals in the 20C acclimation treatment were acclimated for (1 or 5 days).</t>
  </si>
  <si>
    <t>Blaxter_1960</t>
  </si>
  <si>
    <t>Journal of the Marine Biological Association of the United Kingdom</t>
  </si>
  <si>
    <t>Blaxter, J. H. S. "The effect of extremes of temperature on herring larvae." Journal of the Marine Biological Association of the United Kingdom 39, no. 3 (1960): 605-608.</t>
  </si>
  <si>
    <t>The effect of extremes of temperature on herring larvae</t>
  </si>
  <si>
    <t>The CTmax was estimated from death times at different temperatures (thermal tolerance landscapes).</t>
  </si>
  <si>
    <t>The CTmax was estimated from death times at different temperatures (thermal tolerance landscapes).\</t>
  </si>
  <si>
    <t>078_Blaxter_1960_Fig1</t>
  </si>
  <si>
    <t>No sample size or standard deviation reported.</t>
  </si>
  <si>
    <t xml:space="preserve">Data digitised from figure. Neither SD nor sample sizes were reported. </t>
  </si>
  <si>
    <t>Brown_1969</t>
  </si>
  <si>
    <t>The Heat Resistance of Some Anuran Tadpoles (Hylidae and Pelobatidae)</t>
  </si>
  <si>
    <t>Brown, Herbert A. "The heat resistance of some anuran tadpoles (Hylidae and Pelobatidae)." Copeia (1969): 138-147.</t>
  </si>
  <si>
    <t>septentrionalis</t>
  </si>
  <si>
    <t>regilla</t>
  </si>
  <si>
    <t>Hyla</t>
  </si>
  <si>
    <t>Scaphiopus</t>
  </si>
  <si>
    <t>couchii</t>
  </si>
  <si>
    <t>hammondii</t>
  </si>
  <si>
    <t>Scaphiopodidae</t>
  </si>
  <si>
    <t>079_Brown_1969_Fig2A</t>
  </si>
  <si>
    <t>079_Brown_1969_Fig2B</t>
  </si>
  <si>
    <t>Hyla septentrionalis</t>
  </si>
  <si>
    <t>Hyla regilla</t>
  </si>
  <si>
    <t>Scaphiopus couchii</t>
  </si>
  <si>
    <t>Scaphiopus hammondii</t>
  </si>
  <si>
    <t>The n_test_temp was assessed from figure 1 and the median number of test temperatures involved in the treatments compared was used.</t>
  </si>
  <si>
    <t>Data digitised from figure. Sample sizes were taken as the number of test temperatures * the number of replicate test temperatures. Neither SD or SE was reported.</t>
  </si>
  <si>
    <t xml:space="preserve">The n_test_temp was assessed from figure 1 and the median number of test temperatures involved in the treatments compared was used. The mean duration of acclimation was used. </t>
  </si>
  <si>
    <t>Ebel_et_al_1971</t>
  </si>
  <si>
    <t>Thermal tolerance of juvenile Pacific salmon and steelhead trout in relation to supersaturation of nitrogen gas</t>
  </si>
  <si>
    <t>Fishery Bulletin</t>
  </si>
  <si>
    <t>Ebel, Wesley J., Earl M. Dawley, and Bruce H. Monk. "Thermal tolerance of juvenile Pacific salmon and steelhead trout in relation to supersaturation of nitrogen gas." Fishery Bulletin 69 (1971): 833-843.</t>
  </si>
  <si>
    <t xml:space="preserve">Time to death at different temperatures taken from tables. Data calculated by fitting a linear regression of log10(time to 50% mortality) against the test temperatures according to Jorgensen et al. 2018,2021 and Rezende et al. 2014. The CTmax was estimated as the temperatures animals cannot withstand for longer than 60 minutes. The sample size was taken as the n_test_temp * n_replicates_per_temp. </t>
  </si>
  <si>
    <t xml:space="preserve">Data for animals who experienced normal nitrogen saturation in acclimation tanks, and supersaturation (125-130%) in test tanks.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</si>
  <si>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 xml:space="preserve">Data for animals who experienced nitrogen supersaturation (125-130%) in both acclimation and test tanks.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</si>
  <si>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 xml:space="preserve">Data for animals who experienced normal nitrogen saturation in acclimation tanks, and supersaturation (125-130%) in test tanks. The species name is reported as "Salmo gairdneri" in the paper, but this is a synonym of O. mykiss.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</si>
  <si>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 xml:space="preserve">Data for animals who experienced nitrogen supersaturation (125-130%) in both acclimation and test tanks. The species name is reported as "Salmo gairdneri" in the paper, but this is a synonym of O. mykiss.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</si>
  <si>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Temperature tolerance of young-of-the-year cisco, Coregonus artedii</t>
  </si>
  <si>
    <t>Edsall, Thomas A., and Peter J. Colby. "Temperature tolerance of young-of-the-year cisco, Coregonus artedii." Transactions of the American Fisheries Society 99, no. 3 (1970): 526-531.</t>
  </si>
  <si>
    <t>Edsall_and_Colby_1970</t>
  </si>
  <si>
    <t>Coregonus</t>
  </si>
  <si>
    <t>artedi</t>
  </si>
  <si>
    <t>Coregonus artedi</t>
  </si>
  <si>
    <t>Tab2-3</t>
  </si>
  <si>
    <t>Tab3-4</t>
  </si>
  <si>
    <t>Tab4-5</t>
  </si>
  <si>
    <t>Tab6-7</t>
  </si>
  <si>
    <t>Tab9-10</t>
  </si>
  <si>
    <t xml:space="preserve">Coordinates were estimated with Google Earth. Acc_duration was averaged between treatments. Oxygen and pH were taken as the means of the ranges presented. N_test_temp was not presented for each acclimation treatment; but was taken as "7" based on the number of points presented in Fig. 1 and Fig. 2. Animals were acclimated for different times. </t>
  </si>
  <si>
    <t>Coordinates were estimated with Google Earth. Acc_duration was averaged between treatments. Oxygen and pH were taken as the means of the ranges presented. N_test_temp was not presented for each acclimation treatment; but was taken as "7" based on the number of points presented in Fig. 1 and Fig. 2. Animals acclimated to 10C were acclimated for longer because it was the housing_temp.</t>
  </si>
  <si>
    <t>Missing sd.</t>
  </si>
  <si>
    <t>Data taken from table. Sample sizes were taken as the number of test temperatures * the number of replicate test temperatures. SE was not reported.</t>
  </si>
  <si>
    <t>Hokanson_and_Koenst_1986</t>
  </si>
  <si>
    <t>10.1577/1548-8659(1970)99&lt;526:TTOYCC&gt;2.0.CO;2</t>
  </si>
  <si>
    <t>The Progressive Fish-Culturist</t>
  </si>
  <si>
    <t>https://doi.org/10.1577/1548-8640(1986)48&lt;90:REOGRA&gt;2.0.CO;2</t>
  </si>
  <si>
    <t>Revised estimates of growth requirements and lethal temperature limits of juvenile walleyes</t>
  </si>
  <si>
    <t>Hokanson, Kenneth EF, and Walter M. Koenst. "Revised estimates of growth requirements and lethal temperature limits of juvenile walleyes." The Progressive Fish‐Culturist 48, no. 2 (1986): 90-94.</t>
  </si>
  <si>
    <t>Percidae</t>
  </si>
  <si>
    <t>Sander</t>
  </si>
  <si>
    <t>vitreus</t>
  </si>
  <si>
    <t>Sander vitreus</t>
  </si>
  <si>
    <t xml:space="preserve">Species name was changed to "Sander vitreus". In this experiment, the temperature was increased at a rate of 0.5C/day until all fish died, and the LT50 was interpolated from the survival curve. This method is an hybrid between CTmax and LT50. The heat tolerance was quantified as LT50 because the estimates were generated using regression methods. acc_temp_var and pH were taken as the mean of the ranges presented. </t>
  </si>
  <si>
    <t>hybrid between CTmax and LT50. Missing SD and N.</t>
  </si>
  <si>
    <t>Data taken from table. Neither sample size nor standard deviations were reported.</t>
  </si>
  <si>
    <t>Kerfoot_2012</t>
  </si>
  <si>
    <t>Thermal Tolerance of the Invasive Belonesox belizanus, Pike Killifish, Throughout Ontogeny</t>
  </si>
  <si>
    <t>Journal of Experimental Zoology Part A - Ecological Genetics and Physiology</t>
  </si>
  <si>
    <t>10.1002/jez.1720</t>
  </si>
  <si>
    <t>KERFOOT, JR.*, JAMES ROY. "Thermal tolerance of the invasive Belonesox belizanus, pike killifish, throughout ontogeny." Journal of Experimental Zoology Part A: Ecological Genetics and Physiology 317, no. 5 (2012): 266-274.</t>
  </si>
  <si>
    <t>Belonesox</t>
  </si>
  <si>
    <t>belizanus</t>
  </si>
  <si>
    <t>Belonesox belizanus</t>
  </si>
  <si>
    <t xml:space="preserve">Data taken from table. SE was missing for some of the observations. SE was converted to SD when possible. </t>
  </si>
  <si>
    <t>McCauley_1963</t>
  </si>
  <si>
    <t>Lethal Temperatures of the Developmental Stages of the Sea Lamprey, Petromyzon marinus L.</t>
  </si>
  <si>
    <t>Journal of the Fisheries Board of Canada</t>
  </si>
  <si>
    <t>McCauley, R. W. "Lethal temperatures of the developmental stages of the sea lamprey, Petromyzon marinus L." Journal of the Fisheries Board of Canada 20, no. 2 (1963): 483-490.</t>
  </si>
  <si>
    <t>Petromyzon</t>
  </si>
  <si>
    <t>marinus</t>
  </si>
  <si>
    <t>Petromyzon marinus</t>
  </si>
  <si>
    <t>Hyperoartia</t>
  </si>
  <si>
    <t>Petromyzontiformes</t>
  </si>
  <si>
    <t>Petromyzontidae</t>
  </si>
  <si>
    <t>080_McCauley_1963_Fig2</t>
  </si>
  <si>
    <t xml:space="preserve">Data (time to death) digitised from figure. Data calculated by fitting a linear regression of log10(time to 50% mortality) against the test temperatures according to Jorgensen et al. 2018,2021 and Rezende et al. 2014. The CTmax was estimated as the temperatures animals cannot withstand for longer than 60 minutes. The sample size was unclear and hence taken as NA. </t>
  </si>
  <si>
    <t>Temperature and salinity tolerances of larval Californian grunion, Leuresthes tenuis (Ayres): A comparison with gulf grunion, L. sardina (Jenkins &amp; Evermann)</t>
  </si>
  <si>
    <t>Reynolds_1976</t>
  </si>
  <si>
    <t>Reynolds, William W., Donald A. Thomson, and Martha E. Casterlin. "Temperature and salinity tolerances of larval Californian grunion, Leuresthes tenuis (Ayres): A comparison with gulf grunion, L. sardina (Jenkins &amp; Evermann)." Journal of Experimental Marine Biology and Ecology 24, no. 1 (1976): 73-82.</t>
  </si>
  <si>
    <t>https://doi.org/10.1016/0022-0981(76)90044-7</t>
  </si>
  <si>
    <t>Atheriniformes</t>
  </si>
  <si>
    <t>Atherinopsidae</t>
  </si>
  <si>
    <t>Leuresthes tenuis</t>
  </si>
  <si>
    <t>Leuresthes</t>
  </si>
  <si>
    <t>tenuis</t>
  </si>
  <si>
    <t>n_test_temp was approximated based on the number of data points presented in Fig. 2</t>
  </si>
  <si>
    <t>Data digitised from figure. Sample sizes were taken as the number of test temperatures * the number of replicate test temperatures. SE was not reported.</t>
  </si>
  <si>
    <t>081_Reynolds_et_al_1976_Fig1</t>
  </si>
  <si>
    <t>Developmental temperature tolerance of a Death Valley pupfish (Cyprinodon nevadensis)</t>
  </si>
  <si>
    <t>Physiological Zoology</t>
  </si>
  <si>
    <t>Shrode_1975</t>
  </si>
  <si>
    <t>https://doi.org/10.1086/physzool.48.4.30155663</t>
  </si>
  <si>
    <t>Shrode, Joy B. "Developmental temperature tolerance of a Death Valley pupfish (Cyprinodon nevadensis)." Physiological Zoology 48, no. 4 (1975): 378-389.</t>
  </si>
  <si>
    <t>Cyprinodontidae</t>
  </si>
  <si>
    <t>Cyprinodon</t>
  </si>
  <si>
    <t>nevadensis</t>
  </si>
  <si>
    <t>Cyprinodon nevadensis</t>
  </si>
  <si>
    <t>082_Shrode_1975_Fig4</t>
  </si>
  <si>
    <t xml:space="preserve">Data for animals re-acclimated to 24C.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</si>
  <si>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20C.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</si>
  <si>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28C.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</si>
  <si>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32C.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</si>
  <si>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36C. Animals were all acclimated for different times because the duration of acclimation varied with the development rate. The time_at_common_temp also varied depending on the temperature the animals were originally incubated to. </t>
  </si>
  <si>
    <t>Data digitised from figure. Sample size was taken as the median of the range presented (6 to 10 fish). SD was not reported in the figure. When two data points were presented in the figure, the mean of the two points was taken.</t>
  </si>
  <si>
    <t>Threader_and_Houston_1983</t>
  </si>
  <si>
    <t>Heat tolerance and resistance in juvenile rainbow trout acclimated to diurnally cycling temperatures</t>
  </si>
  <si>
    <t>https://doi.org/10.1016/0300-9629(83)90062-2</t>
  </si>
  <si>
    <t>Threader, R. W., and A. H. Houston. "Heat tolerance and resistance in juvenile rainbow trout acclimated to diurnally cycling temperatures." Comparative Biochemistry and Physiology Part A: Physiology 75, no. 2 (1983): 153-155.</t>
  </si>
  <si>
    <t>Species name was changed to "Oncorhynchus mykiss".</t>
  </si>
  <si>
    <t xml:space="preserve">Treatments were re-used in stepwise comparisons. Data from the same individuals were used to generate 24h, 48h and 96hr LT50s, hence the shared cohort_IDs.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</si>
</sst>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0" borderId="1" xfId="0" applyFont="1" applyBorder="1"/>
    <xf numFmtId="2" fontId="0" fillId="0" borderId="0" xfId="0" applyNumberFormat="1"/>
    <xf numFmtId="0" fontId="3" fillId="0" borderId="0" xfId="1" applyFill="1" applyAlignment="1"/>
    <xf numFmtId="0" fontId="0" fillId="0" borderId="0" xfId="0" quotePrefix="1"/>
    <xf numFmtId="0" fontId="3" fillId="0" borderId="0" xfId="1" applyFill="1" applyBorder="1" applyAlignment="1"/>
    <xf numFmtId="11" fontId="0" fillId="0" borderId="0" xfId="0" applyNumberFormat="1"/>
    <xf numFmtId="0" fontId="4" fillId="0" borderId="0" xfId="0" applyFont="1"/>
    <xf numFmtId="0" fontId="3" fillId="0" borderId="0" xfId="1" applyFill="1"/>
    <xf numFmtId="0" fontId="3" fillId="0" borderId="0" xfId="1"/>
    <xf numFmtId="0" fontId="0" fillId="0" borderId="0" xfId="0" applyFill="1"/>
    <xf numFmtId="0" fontId="0" fillId="0" borderId="0" xfId="0" quotePrefix="1" applyFill="1"/>
    <xf numFmtId="0" fontId="1" fillId="0" borderId="0" xfId="0" applyFont="1" applyFill="1"/>
    <xf numFmtId="166" fontId="0" fillId="0" borderId="0" xfId="0" applyNumberFormat="1"/>
    <xf numFmtId="0" fontId="0" fillId="0" borderId="0" xfId="0" applyBorder="1"/>
    <xf numFmtId="0" fontId="0" fillId="0" borderId="0" xfId="0" applyFill="1" applyBorder="1"/>
    <xf numFmtId="0" fontId="2" fillId="0"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atadryad.org/stash/dataset/doi:10.5061/dryad.np5hqbzp0" TargetMode="External"/><Relationship Id="rId117" Type="http://schemas.openxmlformats.org/officeDocument/2006/relationships/hyperlink" Target="https://doi.org/10.1016/0300-9629(83)90062-2" TargetMode="External"/><Relationship Id="rId21" Type="http://schemas.openxmlformats.org/officeDocument/2006/relationships/hyperlink" Target="https://datadryad.org/stash/dataset/doi:10.5061/dryad.np5hqbzp0" TargetMode="External"/><Relationship Id="rId42" Type="http://schemas.openxmlformats.org/officeDocument/2006/relationships/hyperlink" Target="https://datadryad.org/stash/dataset/doi:10.5061/dryad.z8w9ghx7z" TargetMode="External"/><Relationship Id="rId47" Type="http://schemas.openxmlformats.org/officeDocument/2006/relationships/hyperlink" Target="https://datadryad.org/stash/dataset/doi:10.5061/dryad.z8w9ghx7z" TargetMode="External"/><Relationship Id="rId63" Type="http://schemas.openxmlformats.org/officeDocument/2006/relationships/hyperlink" Target="https://doi.org/10.5061/dryad.rv982" TargetMode="External"/><Relationship Id="rId68" Type="http://schemas.openxmlformats.org/officeDocument/2006/relationships/hyperlink" Target="https://royalsocietypublishing.org/doi/suppl/10.1098/rstb.2018.0177" TargetMode="External"/><Relationship Id="rId84" Type="http://schemas.openxmlformats.org/officeDocument/2006/relationships/hyperlink" Target="http://dx.doi.org/10.5061/dryad.bp76g" TargetMode="External"/><Relationship Id="rId89" Type="http://schemas.openxmlformats.org/officeDocument/2006/relationships/hyperlink" Target="http://dx.doi.org/10.5061/dryad.bp76g" TargetMode="External"/><Relationship Id="rId112" Type="http://schemas.openxmlformats.org/officeDocument/2006/relationships/hyperlink" Target="https://doi.org/10.1016/0300-9629(83)90062-2" TargetMode="External"/><Relationship Id="rId16" Type="http://schemas.openxmlformats.org/officeDocument/2006/relationships/hyperlink" Target="https://royalsocietypublishing.org/doi/suppl/10.1098/rsbl.2019.0716" TargetMode="External"/><Relationship Id="rId107" Type="http://schemas.openxmlformats.org/officeDocument/2006/relationships/hyperlink" Target="https://doi.org/10.1086/physzool.48.4.30155663" TargetMode="External"/><Relationship Id="rId11" Type="http://schemas.openxmlformats.org/officeDocument/2006/relationships/hyperlink" Target="https://royalsocietypublishing.org/doi/suppl/10.1098/rsbl.2015.0689" TargetMode="External"/><Relationship Id="rId32" Type="http://schemas.openxmlformats.org/officeDocument/2006/relationships/hyperlink" Target="https://datadryad.org/stash/dataset/doi:10.5061/dryad.z8w9ghx7z" TargetMode="External"/><Relationship Id="rId37" Type="http://schemas.openxmlformats.org/officeDocument/2006/relationships/hyperlink" Target="https://datadryad.org/stash/dataset/doi:10.5061/dryad.z8w9ghx7z" TargetMode="External"/><Relationship Id="rId53" Type="http://schemas.openxmlformats.org/officeDocument/2006/relationships/hyperlink" Target="https://datadryad.org/stash/dataset/doi:10.5061/dryad.z8w9ghx7z" TargetMode="External"/><Relationship Id="rId58" Type="http://schemas.openxmlformats.org/officeDocument/2006/relationships/hyperlink" Target="http://dx.doi.org/10.5061/dryad.t5453" TargetMode="External"/><Relationship Id="rId74" Type="http://schemas.openxmlformats.org/officeDocument/2006/relationships/hyperlink" Target="http://doi.org/10.25903/5d01d448c3756" TargetMode="External"/><Relationship Id="rId79" Type="http://schemas.openxmlformats.org/officeDocument/2006/relationships/hyperlink" Target="http://dx.doi.org/10.5061/dryad.bp76g" TargetMode="External"/><Relationship Id="rId102" Type="http://schemas.openxmlformats.org/officeDocument/2006/relationships/hyperlink" Target="https://doi.org/10.1086/physzool.48.4.30155663" TargetMode="External"/><Relationship Id="rId123" Type="http://schemas.openxmlformats.org/officeDocument/2006/relationships/hyperlink" Target="https://doi.org/10.1016/0300-9629(83)90062-2" TargetMode="External"/><Relationship Id="rId5" Type="http://schemas.openxmlformats.org/officeDocument/2006/relationships/hyperlink" Target="http://dx.doi.org/10.17632/kvj8k99y3f.1" TargetMode="External"/><Relationship Id="rId61" Type="http://schemas.openxmlformats.org/officeDocument/2006/relationships/hyperlink" Target="https://doi.org/10.5061/dryad.rv982" TargetMode="External"/><Relationship Id="rId82" Type="http://schemas.openxmlformats.org/officeDocument/2006/relationships/hyperlink" Target="http://dx.doi.org/10.5061/dryad.bp76g" TargetMode="External"/><Relationship Id="rId90" Type="http://schemas.openxmlformats.org/officeDocument/2006/relationships/hyperlink" Target="https://doi.org/10.1016/j.jtherbio.2018.04.002" TargetMode="External"/><Relationship Id="rId95" Type="http://schemas.openxmlformats.org/officeDocument/2006/relationships/hyperlink" Target="https://doi.org/10.1577/1548-8640(1986)48%3c90:REOGRA%3e2.0.CO;2" TargetMode="External"/><Relationship Id="rId19" Type="http://schemas.openxmlformats.org/officeDocument/2006/relationships/hyperlink" Target="https://datadryad.org/stash/dataset/doi:10.5061/dryad.np5hqbzp0" TargetMode="External"/><Relationship Id="rId14" Type="http://schemas.openxmlformats.org/officeDocument/2006/relationships/hyperlink" Target="https://royalsocietypublishing.org/doi/suppl/10.1098/rsbl.2019.0716" TargetMode="External"/><Relationship Id="rId22" Type="http://schemas.openxmlformats.org/officeDocument/2006/relationships/hyperlink" Target="https://datadryad.org/stash/dataset/doi:10.5061/dryad.np5hqbzp0" TargetMode="External"/><Relationship Id="rId27" Type="http://schemas.openxmlformats.org/officeDocument/2006/relationships/hyperlink" Target="https://datadryad.org/stash/dataset/doi:10.5061/dryad.z8w9ghx7z" TargetMode="External"/><Relationship Id="rId30" Type="http://schemas.openxmlformats.org/officeDocument/2006/relationships/hyperlink" Target="https://datadryad.org/stash/dataset/doi:10.5061/dryad.z8w9ghx7z" TargetMode="External"/><Relationship Id="rId35" Type="http://schemas.openxmlformats.org/officeDocument/2006/relationships/hyperlink" Target="https://datadryad.org/stash/dataset/doi:10.5061/dryad.z8w9ghx7z" TargetMode="External"/><Relationship Id="rId43" Type="http://schemas.openxmlformats.org/officeDocument/2006/relationships/hyperlink" Target="https://datadryad.org/stash/dataset/doi:10.5061/dryad.z8w9ghx7z" TargetMode="External"/><Relationship Id="rId48" Type="http://schemas.openxmlformats.org/officeDocument/2006/relationships/hyperlink" Target="https://datadryad.org/stash/dataset/doi:10.5061/dryad.z8w9ghx7z" TargetMode="External"/><Relationship Id="rId56" Type="http://schemas.openxmlformats.org/officeDocument/2006/relationships/hyperlink" Target="http://dx.doi.org/10.5061/dryad.t5453" TargetMode="External"/><Relationship Id="rId64" Type="http://schemas.openxmlformats.org/officeDocument/2006/relationships/hyperlink" Target="https://doi.org/10.5061/dryad.25b8f" TargetMode="External"/><Relationship Id="rId69" Type="http://schemas.openxmlformats.org/officeDocument/2006/relationships/hyperlink" Target="https://royalsocietypublishing.org/doi/suppl/10.1098/rstb.2018.0177" TargetMode="External"/><Relationship Id="rId77" Type="http://schemas.openxmlformats.org/officeDocument/2006/relationships/hyperlink" Target="http://doi.org/10.25903/5d01d448c3756" TargetMode="External"/><Relationship Id="rId100" Type="http://schemas.openxmlformats.org/officeDocument/2006/relationships/hyperlink" Target="https://doi.org/10.1086/physzool.48.4.30155663" TargetMode="External"/><Relationship Id="rId105" Type="http://schemas.openxmlformats.org/officeDocument/2006/relationships/hyperlink" Target="https://doi.org/10.1086/physzool.48.4.30155663" TargetMode="External"/><Relationship Id="rId113" Type="http://schemas.openxmlformats.org/officeDocument/2006/relationships/hyperlink" Target="https://doi.org/10.1016/0300-9629(83)90062-2" TargetMode="External"/><Relationship Id="rId118" Type="http://schemas.openxmlformats.org/officeDocument/2006/relationships/hyperlink" Target="https://doi.org/10.1016/0300-9629(83)90062-2" TargetMode="External"/><Relationship Id="rId8" Type="http://schemas.openxmlformats.org/officeDocument/2006/relationships/hyperlink" Target="http://dx.doi.org/10.5061/dryad.dp1fh" TargetMode="External"/><Relationship Id="rId51" Type="http://schemas.openxmlformats.org/officeDocument/2006/relationships/hyperlink" Target="https://datadryad.org/stash/dataset/doi:10.5061/dryad.z8w9ghx7z" TargetMode="External"/><Relationship Id="rId72" Type="http://schemas.openxmlformats.org/officeDocument/2006/relationships/hyperlink" Target="http://doi.org/10.25903/5d01d448c3756" TargetMode="External"/><Relationship Id="rId80" Type="http://schemas.openxmlformats.org/officeDocument/2006/relationships/hyperlink" Target="http://dx.doi.org/10.5061/dryad.bp76g" TargetMode="External"/><Relationship Id="rId85" Type="http://schemas.openxmlformats.org/officeDocument/2006/relationships/hyperlink" Target="http://dx.doi.org/10.5061/dryad.bp76g" TargetMode="External"/><Relationship Id="rId93" Type="http://schemas.openxmlformats.org/officeDocument/2006/relationships/hyperlink" Target="https://doi.org/10.1016/j.jtherbio.2018.04.002" TargetMode="External"/><Relationship Id="rId98" Type="http://schemas.openxmlformats.org/officeDocument/2006/relationships/hyperlink" Target="https://doi.org/10.1016/0022-0981(76)90044-7" TargetMode="External"/><Relationship Id="rId121" Type="http://schemas.openxmlformats.org/officeDocument/2006/relationships/hyperlink" Target="https://doi.org/10.1016/0300-9629(83)90062-2" TargetMode="External"/><Relationship Id="rId3" Type="http://schemas.openxmlformats.org/officeDocument/2006/relationships/hyperlink" Target="http://dx.doi.org/10.17632/kvj8k99y3f.1" TargetMode="External"/><Relationship Id="rId12" Type="http://schemas.openxmlformats.org/officeDocument/2006/relationships/hyperlink" Target="https://royalsocietypublishing.org/doi/suppl/10.1098/rsbl.2015.0689" TargetMode="External"/><Relationship Id="rId17" Type="http://schemas.openxmlformats.org/officeDocument/2006/relationships/hyperlink" Target="https://datadryad.org/stash/dataset/doi:10.5061/dryad.np5hqbzp0" TargetMode="External"/><Relationship Id="rId25" Type="http://schemas.openxmlformats.org/officeDocument/2006/relationships/hyperlink" Target="https://datadryad.org/stash/dataset/doi:10.5061/dryad.np5hqbzp0" TargetMode="External"/><Relationship Id="rId33" Type="http://schemas.openxmlformats.org/officeDocument/2006/relationships/hyperlink" Target="https://datadryad.org/stash/dataset/doi:10.5061/dryad.z8w9ghx7z" TargetMode="External"/><Relationship Id="rId38" Type="http://schemas.openxmlformats.org/officeDocument/2006/relationships/hyperlink" Target="https://datadryad.org/stash/dataset/doi:10.5061/dryad.z8w9ghx7z" TargetMode="External"/><Relationship Id="rId46" Type="http://schemas.openxmlformats.org/officeDocument/2006/relationships/hyperlink" Target="https://datadryad.org/stash/dataset/doi:10.5061/dryad.z8w9ghx7z" TargetMode="External"/><Relationship Id="rId59" Type="http://schemas.openxmlformats.org/officeDocument/2006/relationships/hyperlink" Target="http://dx.doi.org/10.5061/dryad.t5453" TargetMode="External"/><Relationship Id="rId67" Type="http://schemas.openxmlformats.org/officeDocument/2006/relationships/hyperlink" Target="https://doi.org/10.5061/dryad.25b8f" TargetMode="External"/><Relationship Id="rId103" Type="http://schemas.openxmlformats.org/officeDocument/2006/relationships/hyperlink" Target="https://doi.org/10.1086/physzool.48.4.30155663" TargetMode="External"/><Relationship Id="rId108" Type="http://schemas.openxmlformats.org/officeDocument/2006/relationships/hyperlink" Target="https://doi.org/10.1086/physzool.48.4.30155663" TargetMode="External"/><Relationship Id="rId116" Type="http://schemas.openxmlformats.org/officeDocument/2006/relationships/hyperlink" Target="https://doi.org/10.1016/0300-9629(83)90062-2" TargetMode="External"/><Relationship Id="rId124" Type="http://schemas.openxmlformats.org/officeDocument/2006/relationships/printerSettings" Target="../printerSettings/printerSettings1.bin"/><Relationship Id="rId20" Type="http://schemas.openxmlformats.org/officeDocument/2006/relationships/hyperlink" Target="https://datadryad.org/stash/dataset/doi:10.5061/dryad.np5hqbzp0" TargetMode="External"/><Relationship Id="rId41" Type="http://schemas.openxmlformats.org/officeDocument/2006/relationships/hyperlink" Target="https://datadryad.org/stash/dataset/doi:10.5061/dryad.z8w9ghx7z" TargetMode="External"/><Relationship Id="rId54" Type="http://schemas.openxmlformats.org/officeDocument/2006/relationships/hyperlink" Target="http://dx.doi.org/10.5061/dryad.t5453" TargetMode="External"/><Relationship Id="rId62" Type="http://schemas.openxmlformats.org/officeDocument/2006/relationships/hyperlink" Target="https://doi.org/10.5061/dryad.rv982" TargetMode="External"/><Relationship Id="rId70" Type="http://schemas.openxmlformats.org/officeDocument/2006/relationships/hyperlink" Target="https://royalsocietypublishing.org/doi/suppl/10.1098/rstb.2018.0177" TargetMode="External"/><Relationship Id="rId75" Type="http://schemas.openxmlformats.org/officeDocument/2006/relationships/hyperlink" Target="http://doi.org/10.25903/5d01d448c3756" TargetMode="External"/><Relationship Id="rId83" Type="http://schemas.openxmlformats.org/officeDocument/2006/relationships/hyperlink" Target="http://dx.doi.org/10.5061/dryad.bp76g" TargetMode="External"/><Relationship Id="rId88" Type="http://schemas.openxmlformats.org/officeDocument/2006/relationships/hyperlink" Target="http://dx.doi.org/10.5061/dryad.bp76g" TargetMode="External"/><Relationship Id="rId91" Type="http://schemas.openxmlformats.org/officeDocument/2006/relationships/hyperlink" Target="https://doi.org/10.1016/j.jtherbio.2018.04.002" TargetMode="External"/><Relationship Id="rId96" Type="http://schemas.openxmlformats.org/officeDocument/2006/relationships/hyperlink" Target="https://doi.org/10.1577/1548-8640(1986)48%3c90:REOGRA%3e2.0.CO;2" TargetMode="External"/><Relationship Id="rId111" Type="http://schemas.openxmlformats.org/officeDocument/2006/relationships/hyperlink" Target="https://doi.org/10.1086/physzool.48.4.30155663" TargetMode="External"/><Relationship Id="rId1" Type="http://schemas.openxmlformats.org/officeDocument/2006/relationships/hyperlink" Target="https://doi.org/10.6084/m9.figshare.12311102.v2" TargetMode="External"/><Relationship Id="rId6" Type="http://schemas.openxmlformats.org/officeDocument/2006/relationships/hyperlink" Target="http://dx.doi.org/10.17632/kvj8k99y3f.1" TargetMode="External"/><Relationship Id="rId15" Type="http://schemas.openxmlformats.org/officeDocument/2006/relationships/hyperlink" Target="https://royalsocietypublishing.org/doi/suppl/10.1098/rsbl.2019.0716" TargetMode="External"/><Relationship Id="rId23" Type="http://schemas.openxmlformats.org/officeDocument/2006/relationships/hyperlink" Target="https://datadryad.org/stash/dataset/doi:10.5061/dryad.np5hqbzp0" TargetMode="External"/><Relationship Id="rId28" Type="http://schemas.openxmlformats.org/officeDocument/2006/relationships/hyperlink" Target="https://datadryad.org/stash/dataset/doi:10.5061/dryad.z8w9ghx7z" TargetMode="External"/><Relationship Id="rId36" Type="http://schemas.openxmlformats.org/officeDocument/2006/relationships/hyperlink" Target="https://datadryad.org/stash/dataset/doi:10.5061/dryad.z8w9ghx7z" TargetMode="External"/><Relationship Id="rId49" Type="http://schemas.openxmlformats.org/officeDocument/2006/relationships/hyperlink" Target="https://datadryad.org/stash/dataset/doi:10.5061/dryad.z8w9ghx7z" TargetMode="External"/><Relationship Id="rId57" Type="http://schemas.openxmlformats.org/officeDocument/2006/relationships/hyperlink" Target="http://dx.doi.org/10.5061/dryad.t5453" TargetMode="External"/><Relationship Id="rId106" Type="http://schemas.openxmlformats.org/officeDocument/2006/relationships/hyperlink" Target="https://doi.org/10.1086/physzool.48.4.30155663" TargetMode="External"/><Relationship Id="rId114" Type="http://schemas.openxmlformats.org/officeDocument/2006/relationships/hyperlink" Target="https://doi.org/10.1016/0300-9629(83)90062-2" TargetMode="External"/><Relationship Id="rId119" Type="http://schemas.openxmlformats.org/officeDocument/2006/relationships/hyperlink" Target="https://doi.org/10.1016/0300-9629(83)90062-2" TargetMode="External"/><Relationship Id="rId10" Type="http://schemas.openxmlformats.org/officeDocument/2006/relationships/hyperlink" Target="https://royalsocietypublishing.org/doi/suppl/10.1098/rsbl.2015.0689" TargetMode="External"/><Relationship Id="rId31" Type="http://schemas.openxmlformats.org/officeDocument/2006/relationships/hyperlink" Target="https://datadryad.org/stash/dataset/doi:10.5061/dryad.z8w9ghx7z" TargetMode="External"/><Relationship Id="rId44" Type="http://schemas.openxmlformats.org/officeDocument/2006/relationships/hyperlink" Target="https://datadryad.org/stash/dataset/doi:10.5061/dryad.z8w9ghx7z" TargetMode="External"/><Relationship Id="rId52" Type="http://schemas.openxmlformats.org/officeDocument/2006/relationships/hyperlink" Target="https://datadryad.org/stash/dataset/doi:10.5061/dryad.z8w9ghx7z" TargetMode="External"/><Relationship Id="rId60" Type="http://schemas.openxmlformats.org/officeDocument/2006/relationships/hyperlink" Target="http://dx.doi.org/10.5061/dryad.t5453" TargetMode="External"/><Relationship Id="rId65" Type="http://schemas.openxmlformats.org/officeDocument/2006/relationships/hyperlink" Target="https://doi.org/10.5061/dryad.25b8f" TargetMode="External"/><Relationship Id="rId73" Type="http://schemas.openxmlformats.org/officeDocument/2006/relationships/hyperlink" Target="http://doi.org/10.25903/5d01d448c3756" TargetMode="External"/><Relationship Id="rId78" Type="http://schemas.openxmlformats.org/officeDocument/2006/relationships/hyperlink" Target="http://doi.org/10.25903/5d01d448c3756" TargetMode="External"/><Relationship Id="rId81" Type="http://schemas.openxmlformats.org/officeDocument/2006/relationships/hyperlink" Target="http://dx.doi.org/10.5061/dryad.bp76g" TargetMode="External"/><Relationship Id="rId86" Type="http://schemas.openxmlformats.org/officeDocument/2006/relationships/hyperlink" Target="http://dx.doi.org/10.5061/dryad.bp76g" TargetMode="External"/><Relationship Id="rId94" Type="http://schemas.openxmlformats.org/officeDocument/2006/relationships/hyperlink" Target="https://doi.org/10.1016/j.marenvres.2020.105048" TargetMode="External"/><Relationship Id="rId99" Type="http://schemas.openxmlformats.org/officeDocument/2006/relationships/hyperlink" Target="https://doi.org/10.1086/physzool.48.4.30155663" TargetMode="External"/><Relationship Id="rId101" Type="http://schemas.openxmlformats.org/officeDocument/2006/relationships/hyperlink" Target="https://doi.org/10.1086/physzool.48.4.30155663" TargetMode="External"/><Relationship Id="rId122" Type="http://schemas.openxmlformats.org/officeDocument/2006/relationships/hyperlink" Target="https://doi.org/10.1016/0300-9629(83)90062-2" TargetMode="External"/><Relationship Id="rId4" Type="http://schemas.openxmlformats.org/officeDocument/2006/relationships/hyperlink" Target="http://dx.doi.org/10.17632/kvj8k99y3f.1" TargetMode="External"/><Relationship Id="rId9" Type="http://schemas.openxmlformats.org/officeDocument/2006/relationships/hyperlink" Target="https://royalsocietypublishing.org/doi/suppl/10.1098/rsbl.2015.0689" TargetMode="External"/><Relationship Id="rId13" Type="http://schemas.openxmlformats.org/officeDocument/2006/relationships/hyperlink" Target="https://royalsocietypublishing.org/doi/suppl/10.1098/rsbl.2019.0716" TargetMode="External"/><Relationship Id="rId18" Type="http://schemas.openxmlformats.org/officeDocument/2006/relationships/hyperlink" Target="https://datadryad.org/stash/dataset/doi:10.5061/dryad.np5hqbzp0" TargetMode="External"/><Relationship Id="rId39" Type="http://schemas.openxmlformats.org/officeDocument/2006/relationships/hyperlink" Target="https://datadryad.org/stash/dataset/doi:10.5061/dryad.z8w9ghx7z" TargetMode="External"/><Relationship Id="rId109" Type="http://schemas.openxmlformats.org/officeDocument/2006/relationships/hyperlink" Target="https://doi.org/10.1086/physzool.48.4.30155663" TargetMode="External"/><Relationship Id="rId34" Type="http://schemas.openxmlformats.org/officeDocument/2006/relationships/hyperlink" Target="https://datadryad.org/stash/dataset/doi:10.5061/dryad.z8w9ghx7z" TargetMode="External"/><Relationship Id="rId50" Type="http://schemas.openxmlformats.org/officeDocument/2006/relationships/hyperlink" Target="https://datadryad.org/stash/dataset/doi:10.5061/dryad.z8w9ghx7z" TargetMode="External"/><Relationship Id="rId55" Type="http://schemas.openxmlformats.org/officeDocument/2006/relationships/hyperlink" Target="http://dx.doi.org/10.5061/dryad.t5453" TargetMode="External"/><Relationship Id="rId76" Type="http://schemas.openxmlformats.org/officeDocument/2006/relationships/hyperlink" Target="http://doi.org/10.25903/5d01d448c3756" TargetMode="External"/><Relationship Id="rId97" Type="http://schemas.openxmlformats.org/officeDocument/2006/relationships/hyperlink" Target="https://doi.org/10.1016/0022-0981(76)90044-7" TargetMode="External"/><Relationship Id="rId104" Type="http://schemas.openxmlformats.org/officeDocument/2006/relationships/hyperlink" Target="https://doi.org/10.1086/physzool.48.4.30155663" TargetMode="External"/><Relationship Id="rId120" Type="http://schemas.openxmlformats.org/officeDocument/2006/relationships/hyperlink" Target="https://doi.org/10.1016/0300-9629(83)90062-2" TargetMode="External"/><Relationship Id="rId7" Type="http://schemas.openxmlformats.org/officeDocument/2006/relationships/hyperlink" Target="http://dx.doi.org/10.5061/dryad.dp1fh" TargetMode="External"/><Relationship Id="rId71" Type="http://schemas.openxmlformats.org/officeDocument/2006/relationships/hyperlink" Target="http://doi.org/10.25903/5d01d448c3756" TargetMode="External"/><Relationship Id="rId92" Type="http://schemas.openxmlformats.org/officeDocument/2006/relationships/hyperlink" Target="https://doi.org/10.1016/j.jtherbio.2018.04.002" TargetMode="External"/><Relationship Id="rId2" Type="http://schemas.openxmlformats.org/officeDocument/2006/relationships/hyperlink" Target="https://doi.org/10.6084/m9.figshare.12311102.v2" TargetMode="External"/><Relationship Id="rId29" Type="http://schemas.openxmlformats.org/officeDocument/2006/relationships/hyperlink" Target="https://datadryad.org/stash/dataset/doi:10.5061/dryad.z8w9ghx7z" TargetMode="External"/><Relationship Id="rId24" Type="http://schemas.openxmlformats.org/officeDocument/2006/relationships/hyperlink" Target="https://datadryad.org/stash/dataset/doi:10.5061/dryad.np5hqbzp0" TargetMode="External"/><Relationship Id="rId40" Type="http://schemas.openxmlformats.org/officeDocument/2006/relationships/hyperlink" Target="https://datadryad.org/stash/dataset/doi:10.5061/dryad.z8w9ghx7z" TargetMode="External"/><Relationship Id="rId45" Type="http://schemas.openxmlformats.org/officeDocument/2006/relationships/hyperlink" Target="https://datadryad.org/stash/dataset/doi:10.5061/dryad.z8w9ghx7z" TargetMode="External"/><Relationship Id="rId66" Type="http://schemas.openxmlformats.org/officeDocument/2006/relationships/hyperlink" Target="https://doi.org/10.5061/dryad.25b8f" TargetMode="External"/><Relationship Id="rId87" Type="http://schemas.openxmlformats.org/officeDocument/2006/relationships/hyperlink" Target="http://dx.doi.org/10.5061/dryad.bp76g" TargetMode="External"/><Relationship Id="rId110" Type="http://schemas.openxmlformats.org/officeDocument/2006/relationships/hyperlink" Target="https://doi.org/10.1086/physzool.48.4.30155663" TargetMode="External"/><Relationship Id="rId115" Type="http://schemas.openxmlformats.org/officeDocument/2006/relationships/hyperlink" Target="https://doi.org/10.1016/0300-9629(83)9006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CC1132"/>
  <sheetViews>
    <sheetView tabSelected="1" topLeftCell="BP1" zoomScale="115" zoomScaleNormal="115" workbookViewId="0">
      <pane ySplit="1" topLeftCell="A1130" activePane="bottomLeft" state="frozen"/>
      <selection activeCell="F1" sqref="F1"/>
      <selection pane="bottomLeft" activeCell="CH1146" sqref="CH1146"/>
    </sheetView>
  </sheetViews>
  <sheetFormatPr defaultRowHeight="15" x14ac:dyDescent="0.25"/>
  <cols>
    <col min="4" max="4" width="10.42578125" bestFit="1" customWidth="1"/>
    <col min="5" max="5" width="13.7109375" bestFit="1" customWidth="1"/>
    <col min="7" max="7" width="13.140625" bestFit="1" customWidth="1"/>
    <col min="8" max="8" width="9.5703125" bestFit="1" customWidth="1"/>
    <col min="9" max="9" width="33" customWidth="1"/>
    <col min="10" max="10" width="9.28515625" bestFit="1" customWidth="1"/>
    <col min="11" max="11" width="10.5703125" bestFit="1" customWidth="1"/>
  </cols>
  <sheetData>
    <row r="1" spans="1:81"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t="s">
        <v>73</v>
      </c>
      <c r="BW1" t="s">
        <v>74</v>
      </c>
      <c r="BX1" t="s">
        <v>75</v>
      </c>
      <c r="BY1" t="s">
        <v>76</v>
      </c>
      <c r="BZ1" t="s">
        <v>77</v>
      </c>
      <c r="CA1" t="s">
        <v>78</v>
      </c>
      <c r="CB1" t="s">
        <v>79</v>
      </c>
      <c r="CC1" t="s">
        <v>80</v>
      </c>
    </row>
    <row r="2" spans="1:81" x14ac:dyDescent="0.25">
      <c r="A2" t="s">
        <v>81</v>
      </c>
      <c r="B2">
        <v>1</v>
      </c>
      <c r="C2">
        <v>1</v>
      </c>
      <c r="D2">
        <v>1</v>
      </c>
      <c r="E2">
        <v>1</v>
      </c>
      <c r="F2">
        <v>1</v>
      </c>
      <c r="G2">
        <v>1</v>
      </c>
      <c r="H2">
        <v>1</v>
      </c>
      <c r="I2" t="s">
        <v>82</v>
      </c>
      <c r="J2" t="s">
        <v>83</v>
      </c>
      <c r="K2" t="s">
        <v>84</v>
      </c>
      <c r="M2" t="s">
        <v>85</v>
      </c>
      <c r="O2" t="s">
        <v>14</v>
      </c>
      <c r="P2" t="s">
        <v>86</v>
      </c>
      <c r="Q2" t="s">
        <v>87</v>
      </c>
      <c r="R2">
        <v>2019</v>
      </c>
      <c r="S2" t="s">
        <v>88</v>
      </c>
      <c r="U2" t="s">
        <v>89</v>
      </c>
      <c r="V2" t="s">
        <v>90</v>
      </c>
      <c r="W2" t="s">
        <v>91</v>
      </c>
      <c r="X2" t="s">
        <v>92</v>
      </c>
      <c r="Y2" t="s">
        <v>93</v>
      </c>
      <c r="Z2" t="s">
        <v>94</v>
      </c>
      <c r="AA2" t="s">
        <v>95</v>
      </c>
      <c r="AB2" t="s">
        <v>96</v>
      </c>
      <c r="AC2" t="s">
        <v>97</v>
      </c>
      <c r="AD2" t="s">
        <v>98</v>
      </c>
      <c r="AE2" t="s">
        <v>99</v>
      </c>
      <c r="AF2" t="s">
        <v>100</v>
      </c>
      <c r="AG2" t="s">
        <v>101</v>
      </c>
      <c r="AH2" t="s">
        <v>102</v>
      </c>
      <c r="AI2" t="s">
        <v>103</v>
      </c>
      <c r="AJ2" t="s">
        <v>104</v>
      </c>
      <c r="AK2">
        <v>14</v>
      </c>
      <c r="AL2">
        <v>23</v>
      </c>
      <c r="AM2" t="s">
        <v>105</v>
      </c>
      <c r="AN2" t="s">
        <v>106</v>
      </c>
      <c r="AO2">
        <v>-34.896944444399999</v>
      </c>
      <c r="AP2">
        <v>150.60583333330001</v>
      </c>
      <c r="AQ2">
        <v>35</v>
      </c>
      <c r="AR2" t="s">
        <v>107</v>
      </c>
      <c r="AS2">
        <v>2016</v>
      </c>
      <c r="AT2">
        <f>(24.85714+21.28571)/2</f>
        <v>23.071425000000001</v>
      </c>
      <c r="AU2">
        <f>(0.4190476+0.3114286)/2</f>
        <v>0.36523810000000001</v>
      </c>
      <c r="AV2">
        <v>14</v>
      </c>
      <c r="AW2" t="s">
        <v>108</v>
      </c>
      <c r="AX2">
        <v>23</v>
      </c>
      <c r="AY2" t="s">
        <v>103</v>
      </c>
      <c r="AZ2" t="s">
        <v>109</v>
      </c>
      <c r="BA2" t="s">
        <v>110</v>
      </c>
      <c r="BB2">
        <v>24.3</v>
      </c>
      <c r="BC2">
        <v>28.9</v>
      </c>
      <c r="BD2">
        <f>(3.2+4.3)/2</f>
        <v>3.75</v>
      </c>
      <c r="BE2" t="s">
        <v>111</v>
      </c>
      <c r="BF2">
        <f>(90.80952+67)/2</f>
        <v>78.90476000000001</v>
      </c>
      <c r="BG2">
        <v>1</v>
      </c>
      <c r="BP2">
        <v>12</v>
      </c>
      <c r="BU2" t="s">
        <v>112</v>
      </c>
      <c r="BV2">
        <v>39.657139999999998</v>
      </c>
      <c r="BW2">
        <v>0.36410360000000003</v>
      </c>
      <c r="BX2">
        <v>21</v>
      </c>
      <c r="BY2">
        <v>39.9</v>
      </c>
      <c r="BZ2">
        <v>0.1414214</v>
      </c>
      <c r="CA2">
        <v>7</v>
      </c>
      <c r="CB2" t="s">
        <v>113</v>
      </c>
      <c r="CC2" t="s">
        <v>114</v>
      </c>
    </row>
    <row r="3" spans="1:81" x14ac:dyDescent="0.25">
      <c r="A3" t="s">
        <v>81</v>
      </c>
      <c r="B3">
        <v>2</v>
      </c>
      <c r="C3">
        <v>1</v>
      </c>
      <c r="D3">
        <v>1</v>
      </c>
      <c r="E3">
        <v>1</v>
      </c>
      <c r="F3">
        <v>1</v>
      </c>
      <c r="G3">
        <v>2</v>
      </c>
      <c r="H3">
        <v>1</v>
      </c>
      <c r="I3" t="s">
        <v>82</v>
      </c>
      <c r="J3" t="s">
        <v>83</v>
      </c>
      <c r="K3" t="s">
        <v>84</v>
      </c>
      <c r="M3" t="s">
        <v>85</v>
      </c>
      <c r="O3" t="s">
        <v>14</v>
      </c>
      <c r="P3" t="s">
        <v>86</v>
      </c>
      <c r="Q3" t="s">
        <v>87</v>
      </c>
      <c r="R3">
        <v>2019</v>
      </c>
      <c r="S3" t="s">
        <v>88</v>
      </c>
      <c r="U3" t="s">
        <v>89</v>
      </c>
      <c r="V3" t="s">
        <v>90</v>
      </c>
      <c r="W3" t="s">
        <v>91</v>
      </c>
      <c r="X3" t="s">
        <v>92</v>
      </c>
      <c r="Y3" t="s">
        <v>93</v>
      </c>
      <c r="Z3" t="s">
        <v>94</v>
      </c>
      <c r="AA3" t="s">
        <v>95</v>
      </c>
      <c r="AB3" t="s">
        <v>96</v>
      </c>
      <c r="AC3" t="s">
        <v>97</v>
      </c>
      <c r="AD3" t="s">
        <v>98</v>
      </c>
      <c r="AE3" t="s">
        <v>99</v>
      </c>
      <c r="AF3" t="s">
        <v>100</v>
      </c>
      <c r="AG3" t="s">
        <v>101</v>
      </c>
      <c r="AH3" t="s">
        <v>102</v>
      </c>
      <c r="AI3" t="s">
        <v>103</v>
      </c>
      <c r="AJ3" t="s">
        <v>104</v>
      </c>
      <c r="AK3">
        <v>42</v>
      </c>
      <c r="AL3">
        <v>23</v>
      </c>
      <c r="AM3" t="s">
        <v>105</v>
      </c>
      <c r="AN3" t="s">
        <v>106</v>
      </c>
      <c r="AO3">
        <v>-34.896944444399999</v>
      </c>
      <c r="AP3">
        <v>150.60583333330001</v>
      </c>
      <c r="AQ3">
        <v>35</v>
      </c>
      <c r="AR3" t="s">
        <v>107</v>
      </c>
      <c r="AS3">
        <v>2016</v>
      </c>
      <c r="AT3">
        <f>(27.8+26)/2</f>
        <v>26.9</v>
      </c>
      <c r="AU3">
        <f>(0.559+0.445)/2</f>
        <v>0.502</v>
      </c>
      <c r="AV3">
        <v>42</v>
      </c>
      <c r="AW3" t="s">
        <v>108</v>
      </c>
      <c r="AX3">
        <v>23</v>
      </c>
      <c r="AY3" t="s">
        <v>103</v>
      </c>
      <c r="AZ3" t="s">
        <v>109</v>
      </c>
      <c r="BA3" t="s">
        <v>110</v>
      </c>
      <c r="BB3">
        <v>24.3</v>
      </c>
      <c r="BC3">
        <v>28.9</v>
      </c>
      <c r="BD3">
        <f>(3.2+4.3)/2</f>
        <v>3.75</v>
      </c>
      <c r="BE3" t="s">
        <v>111</v>
      </c>
      <c r="BF3">
        <f>(90.80952+67)/2</f>
        <v>78.90476000000001</v>
      </c>
      <c r="BG3">
        <v>1</v>
      </c>
      <c r="BP3">
        <v>12</v>
      </c>
      <c r="BU3" t="s">
        <v>112</v>
      </c>
      <c r="BV3">
        <v>39.82</v>
      </c>
      <c r="BW3" t="s">
        <v>115</v>
      </c>
      <c r="BX3">
        <v>20</v>
      </c>
      <c r="BY3">
        <v>40.016669999999998</v>
      </c>
      <c r="BZ3">
        <v>7.5277269999999993E-2</v>
      </c>
      <c r="CA3">
        <v>6</v>
      </c>
      <c r="CB3" t="s">
        <v>113</v>
      </c>
      <c r="CC3" t="s">
        <v>114</v>
      </c>
    </row>
    <row r="4" spans="1:81" x14ac:dyDescent="0.25">
      <c r="A4" t="s">
        <v>81</v>
      </c>
      <c r="B4">
        <v>3</v>
      </c>
      <c r="C4">
        <v>1</v>
      </c>
      <c r="D4">
        <v>1</v>
      </c>
      <c r="E4">
        <v>2</v>
      </c>
      <c r="F4">
        <v>2</v>
      </c>
      <c r="G4">
        <v>3</v>
      </c>
      <c r="H4">
        <v>2</v>
      </c>
      <c r="I4" t="s">
        <v>116</v>
      </c>
      <c r="J4" t="s">
        <v>83</v>
      </c>
      <c r="K4" t="s">
        <v>84</v>
      </c>
      <c r="M4" t="s">
        <v>85</v>
      </c>
      <c r="O4" t="s">
        <v>14</v>
      </c>
      <c r="P4" t="s">
        <v>86</v>
      </c>
      <c r="Q4" t="s">
        <v>87</v>
      </c>
      <c r="R4">
        <v>2019</v>
      </c>
      <c r="S4" t="s">
        <v>88</v>
      </c>
      <c r="U4" t="s">
        <v>89</v>
      </c>
      <c r="V4" t="s">
        <v>90</v>
      </c>
      <c r="W4" t="s">
        <v>91</v>
      </c>
      <c r="X4" t="s">
        <v>92</v>
      </c>
      <c r="Y4" t="s">
        <v>93</v>
      </c>
      <c r="Z4" t="s">
        <v>94</v>
      </c>
      <c r="AA4" t="s">
        <v>95</v>
      </c>
      <c r="AB4" t="s">
        <v>96</v>
      </c>
      <c r="AC4" t="s">
        <v>97</v>
      </c>
      <c r="AD4" t="s">
        <v>98</v>
      </c>
      <c r="AE4" t="s">
        <v>99</v>
      </c>
      <c r="AF4" t="s">
        <v>100</v>
      </c>
      <c r="AG4" t="s">
        <v>101</v>
      </c>
      <c r="AH4" t="s">
        <v>102</v>
      </c>
      <c r="AI4" t="s">
        <v>103</v>
      </c>
      <c r="AJ4" t="s">
        <v>104</v>
      </c>
      <c r="AK4">
        <v>14</v>
      </c>
      <c r="AL4">
        <v>23</v>
      </c>
      <c r="AM4" t="s">
        <v>105</v>
      </c>
      <c r="AN4" t="s">
        <v>106</v>
      </c>
      <c r="AO4">
        <v>-34.076111111099998</v>
      </c>
      <c r="AP4">
        <v>150.8294444444</v>
      </c>
      <c r="AQ4">
        <v>279</v>
      </c>
      <c r="AR4" t="s">
        <v>107</v>
      </c>
      <c r="AS4">
        <v>2016</v>
      </c>
      <c r="AT4">
        <f>(26.15385+21.6)/2</f>
        <v>23.876925</v>
      </c>
      <c r="AU4">
        <f>(0.4315385+0.312)/2</f>
        <v>0.37176925</v>
      </c>
      <c r="AV4">
        <v>14</v>
      </c>
      <c r="AW4" t="s">
        <v>108</v>
      </c>
      <c r="AX4">
        <v>23</v>
      </c>
      <c r="AY4" t="s">
        <v>103</v>
      </c>
      <c r="AZ4" t="s">
        <v>109</v>
      </c>
      <c r="BA4" t="s">
        <v>110</v>
      </c>
      <c r="BB4">
        <v>24.3</v>
      </c>
      <c r="BC4">
        <v>28.9</v>
      </c>
      <c r="BD4">
        <f>(3.2+4.3)/2</f>
        <v>3.75</v>
      </c>
      <c r="BE4" t="s">
        <v>111</v>
      </c>
      <c r="BF4">
        <f>(93+64.45455)/2</f>
        <v>78.727274999999992</v>
      </c>
      <c r="BG4">
        <v>1</v>
      </c>
      <c r="BP4">
        <v>12</v>
      </c>
      <c r="BU4" t="s">
        <v>117</v>
      </c>
      <c r="BV4">
        <v>39.761539999999997</v>
      </c>
      <c r="BW4">
        <v>0.36864269999999999</v>
      </c>
      <c r="BX4">
        <v>13</v>
      </c>
      <c r="BY4">
        <v>40.01</v>
      </c>
      <c r="BZ4">
        <v>0.30349809999999999</v>
      </c>
      <c r="CA4">
        <v>10</v>
      </c>
      <c r="CB4" t="s">
        <v>113</v>
      </c>
      <c r="CC4" t="s">
        <v>114</v>
      </c>
    </row>
    <row r="5" spans="1:81" x14ac:dyDescent="0.25">
      <c r="A5" t="s">
        <v>81</v>
      </c>
      <c r="B5">
        <v>4</v>
      </c>
      <c r="C5">
        <v>1</v>
      </c>
      <c r="D5">
        <v>1</v>
      </c>
      <c r="E5">
        <v>2</v>
      </c>
      <c r="F5">
        <v>2</v>
      </c>
      <c r="G5">
        <v>4</v>
      </c>
      <c r="H5">
        <v>2</v>
      </c>
      <c r="I5" t="s">
        <v>116</v>
      </c>
      <c r="J5" t="s">
        <v>83</v>
      </c>
      <c r="K5" t="s">
        <v>84</v>
      </c>
      <c r="M5" t="s">
        <v>85</v>
      </c>
      <c r="O5" t="s">
        <v>14</v>
      </c>
      <c r="P5" t="s">
        <v>86</v>
      </c>
      <c r="Q5" t="s">
        <v>87</v>
      </c>
      <c r="R5">
        <v>2019</v>
      </c>
      <c r="S5" t="s">
        <v>88</v>
      </c>
      <c r="U5" t="s">
        <v>89</v>
      </c>
      <c r="V5" t="s">
        <v>90</v>
      </c>
      <c r="W5" t="s">
        <v>91</v>
      </c>
      <c r="X5" t="s">
        <v>92</v>
      </c>
      <c r="Y5" t="s">
        <v>93</v>
      </c>
      <c r="Z5" t="s">
        <v>94</v>
      </c>
      <c r="AA5" t="s">
        <v>95</v>
      </c>
      <c r="AB5" t="s">
        <v>96</v>
      </c>
      <c r="AC5" t="s">
        <v>97</v>
      </c>
      <c r="AD5" t="s">
        <v>98</v>
      </c>
      <c r="AE5" t="s">
        <v>99</v>
      </c>
      <c r="AF5" t="s">
        <v>100</v>
      </c>
      <c r="AG5" t="s">
        <v>101</v>
      </c>
      <c r="AH5" t="s">
        <v>102</v>
      </c>
      <c r="AI5" t="s">
        <v>103</v>
      </c>
      <c r="AJ5" t="s">
        <v>104</v>
      </c>
      <c r="AK5">
        <v>42</v>
      </c>
      <c r="AL5">
        <v>23</v>
      </c>
      <c r="AM5" t="s">
        <v>105</v>
      </c>
      <c r="AN5" t="s">
        <v>106</v>
      </c>
      <c r="AO5">
        <v>-34.076111111099998</v>
      </c>
      <c r="AP5">
        <v>150.8294444444</v>
      </c>
      <c r="AQ5">
        <v>279</v>
      </c>
      <c r="AR5" t="s">
        <v>107</v>
      </c>
      <c r="AS5">
        <v>2016</v>
      </c>
      <c r="AT5">
        <f>(29.30769+27.5)/2</f>
        <v>28.403845</v>
      </c>
      <c r="AU5">
        <f>(0.5484615+0.496)/2</f>
        <v>0.52223075000000008</v>
      </c>
      <c r="AV5">
        <v>42</v>
      </c>
      <c r="AW5" t="s">
        <v>108</v>
      </c>
      <c r="AX5">
        <v>23</v>
      </c>
      <c r="AY5" t="s">
        <v>103</v>
      </c>
      <c r="AZ5" t="s">
        <v>109</v>
      </c>
      <c r="BA5" t="s">
        <v>110</v>
      </c>
      <c r="BB5">
        <v>24.3</v>
      </c>
      <c r="BC5">
        <v>28.9</v>
      </c>
      <c r="BD5">
        <f>(3.2+4.3)/2</f>
        <v>3.75</v>
      </c>
      <c r="BE5" t="s">
        <v>111</v>
      </c>
      <c r="BF5">
        <f>(93+64.45455)/2</f>
        <v>78.727274999999992</v>
      </c>
      <c r="BG5">
        <v>1</v>
      </c>
      <c r="BP5">
        <v>12</v>
      </c>
      <c r="BU5" t="s">
        <v>117</v>
      </c>
      <c r="BV5">
        <v>39.97692</v>
      </c>
      <c r="BW5">
        <v>0.20064000000000001</v>
      </c>
      <c r="BX5">
        <v>13</v>
      </c>
      <c r="BY5">
        <v>40.03</v>
      </c>
      <c r="BZ5">
        <v>0.28303906000000001</v>
      </c>
      <c r="CA5">
        <v>10</v>
      </c>
      <c r="CB5" t="s">
        <v>113</v>
      </c>
      <c r="CC5" t="s">
        <v>114</v>
      </c>
    </row>
    <row r="6" spans="1:81" x14ac:dyDescent="0.25">
      <c r="A6" t="s">
        <v>81</v>
      </c>
      <c r="B6">
        <v>5</v>
      </c>
      <c r="C6">
        <v>1</v>
      </c>
      <c r="D6">
        <v>1</v>
      </c>
      <c r="E6">
        <v>2</v>
      </c>
      <c r="F6">
        <v>2</v>
      </c>
      <c r="G6">
        <v>5</v>
      </c>
      <c r="H6">
        <v>2</v>
      </c>
      <c r="I6" t="s">
        <v>116</v>
      </c>
      <c r="J6" t="s">
        <v>83</v>
      </c>
      <c r="K6" t="s">
        <v>84</v>
      </c>
      <c r="M6" t="s">
        <v>85</v>
      </c>
      <c r="O6" t="s">
        <v>14</v>
      </c>
      <c r="P6" t="s">
        <v>86</v>
      </c>
      <c r="Q6" t="s">
        <v>87</v>
      </c>
      <c r="R6">
        <v>2019</v>
      </c>
      <c r="S6" t="s">
        <v>88</v>
      </c>
      <c r="U6" t="s">
        <v>89</v>
      </c>
      <c r="V6" t="s">
        <v>90</v>
      </c>
      <c r="W6" t="s">
        <v>91</v>
      </c>
      <c r="X6" t="s">
        <v>92</v>
      </c>
      <c r="Y6" t="s">
        <v>93</v>
      </c>
      <c r="Z6" t="s">
        <v>94</v>
      </c>
      <c r="AA6" t="s">
        <v>95</v>
      </c>
      <c r="AB6" t="s">
        <v>96</v>
      </c>
      <c r="AC6" t="s">
        <v>97</v>
      </c>
      <c r="AD6" t="s">
        <v>98</v>
      </c>
      <c r="AE6" t="s">
        <v>99</v>
      </c>
      <c r="AF6" t="s">
        <v>100</v>
      </c>
      <c r="AG6" t="s">
        <v>101</v>
      </c>
      <c r="AH6" t="s">
        <v>102</v>
      </c>
      <c r="AI6" t="s">
        <v>103</v>
      </c>
      <c r="AJ6" t="s">
        <v>104</v>
      </c>
      <c r="AK6">
        <v>182.5</v>
      </c>
      <c r="AL6">
        <v>23</v>
      </c>
      <c r="AM6" t="s">
        <v>105</v>
      </c>
      <c r="AN6" t="s">
        <v>106</v>
      </c>
      <c r="AO6">
        <v>-34.076111111099998</v>
      </c>
      <c r="AP6">
        <v>150.8294444444</v>
      </c>
      <c r="AQ6">
        <v>279</v>
      </c>
      <c r="AR6" t="s">
        <v>107</v>
      </c>
      <c r="AS6">
        <v>2016</v>
      </c>
      <c r="AV6">
        <v>182.5</v>
      </c>
      <c r="AW6" t="s">
        <v>108</v>
      </c>
      <c r="AX6">
        <v>23</v>
      </c>
      <c r="AY6" t="s">
        <v>103</v>
      </c>
      <c r="AZ6" t="s">
        <v>109</v>
      </c>
      <c r="BA6" t="s">
        <v>110</v>
      </c>
      <c r="BB6">
        <v>24.3</v>
      </c>
      <c r="BC6">
        <v>28.9</v>
      </c>
      <c r="BD6">
        <f>(3.2+4.3)/2</f>
        <v>3.75</v>
      </c>
      <c r="BE6" t="s">
        <v>111</v>
      </c>
      <c r="BF6">
        <f>(93+64.45455)/2</f>
        <v>78.727274999999992</v>
      </c>
      <c r="BG6">
        <v>1</v>
      </c>
      <c r="BP6">
        <v>12</v>
      </c>
      <c r="BU6" t="s">
        <v>117</v>
      </c>
      <c r="BV6">
        <v>39.928570000000001</v>
      </c>
      <c r="BW6">
        <v>0.213809</v>
      </c>
      <c r="BX6">
        <v>7</v>
      </c>
      <c r="BY6">
        <v>40.159999999999997</v>
      </c>
      <c r="BZ6">
        <v>0.2073644</v>
      </c>
      <c r="CA6">
        <v>5</v>
      </c>
      <c r="CB6" t="s">
        <v>113</v>
      </c>
      <c r="CC6" t="s">
        <v>114</v>
      </c>
    </row>
    <row r="7" spans="1:81" x14ac:dyDescent="0.25">
      <c r="A7" t="s">
        <v>81</v>
      </c>
      <c r="B7">
        <v>6</v>
      </c>
      <c r="C7">
        <v>2</v>
      </c>
      <c r="D7">
        <v>2</v>
      </c>
      <c r="E7">
        <v>3</v>
      </c>
      <c r="F7">
        <v>3</v>
      </c>
      <c r="G7">
        <v>6</v>
      </c>
      <c r="H7">
        <v>3</v>
      </c>
      <c r="I7" t="s">
        <v>118</v>
      </c>
      <c r="J7" t="s">
        <v>119</v>
      </c>
      <c r="L7" t="s">
        <v>120</v>
      </c>
      <c r="M7" t="s">
        <v>85</v>
      </c>
      <c r="O7" t="s">
        <v>14</v>
      </c>
      <c r="P7" t="s">
        <v>121</v>
      </c>
      <c r="Q7" t="s">
        <v>122</v>
      </c>
      <c r="R7">
        <v>2013</v>
      </c>
      <c r="S7" t="s">
        <v>123</v>
      </c>
      <c r="U7" t="s">
        <v>124</v>
      </c>
      <c r="V7" t="s">
        <v>125</v>
      </c>
      <c r="W7" t="s">
        <v>91</v>
      </c>
      <c r="X7" t="s">
        <v>126</v>
      </c>
      <c r="Y7" t="s">
        <v>127</v>
      </c>
      <c r="Z7" t="s">
        <v>128</v>
      </c>
      <c r="AA7" t="s">
        <v>129</v>
      </c>
      <c r="AB7" t="s">
        <v>130</v>
      </c>
      <c r="AC7" t="s">
        <v>131</v>
      </c>
      <c r="AD7" t="s">
        <v>132</v>
      </c>
      <c r="AE7" t="s">
        <v>133</v>
      </c>
      <c r="AF7" t="s">
        <v>100</v>
      </c>
      <c r="AG7" t="s">
        <v>102</v>
      </c>
      <c r="AH7" t="s">
        <v>102</v>
      </c>
      <c r="AI7" t="s">
        <v>134</v>
      </c>
      <c r="AJ7" t="s">
        <v>135</v>
      </c>
      <c r="AM7" t="s">
        <v>136</v>
      </c>
      <c r="AN7" t="s">
        <v>137</v>
      </c>
      <c r="AU7">
        <v>15.81</v>
      </c>
      <c r="AW7" t="s">
        <v>108</v>
      </c>
      <c r="AX7">
        <v>20</v>
      </c>
      <c r="AY7" t="s">
        <v>134</v>
      </c>
      <c r="AZ7" t="s">
        <v>109</v>
      </c>
      <c r="BA7" t="s">
        <v>138</v>
      </c>
      <c r="BB7">
        <v>20</v>
      </c>
      <c r="BC7">
        <v>23</v>
      </c>
      <c r="BD7">
        <v>0.5</v>
      </c>
      <c r="BE7" t="s">
        <v>139</v>
      </c>
      <c r="BF7">
        <v>30</v>
      </c>
      <c r="BG7">
        <v>0.3</v>
      </c>
      <c r="BM7">
        <v>6.4</v>
      </c>
      <c r="BO7">
        <f>(8.1+7.87)/2</f>
        <v>7.9849999999999994</v>
      </c>
      <c r="BU7" t="s">
        <v>140</v>
      </c>
      <c r="BV7">
        <v>36.426180000000002</v>
      </c>
      <c r="BW7">
        <v>0.29897289999999999</v>
      </c>
      <c r="BX7">
        <v>20</v>
      </c>
      <c r="BY7">
        <v>37.740949999999998</v>
      </c>
      <c r="BZ7">
        <v>0.49828810000000001</v>
      </c>
      <c r="CA7">
        <v>20</v>
      </c>
      <c r="CB7" t="s">
        <v>113</v>
      </c>
      <c r="CC7" t="s">
        <v>141</v>
      </c>
    </row>
    <row r="8" spans="1:81" x14ac:dyDescent="0.25">
      <c r="A8" t="s">
        <v>81</v>
      </c>
      <c r="B8">
        <v>7</v>
      </c>
      <c r="C8">
        <v>2</v>
      </c>
      <c r="D8">
        <v>2</v>
      </c>
      <c r="E8">
        <v>3</v>
      </c>
      <c r="F8">
        <v>3</v>
      </c>
      <c r="G8">
        <v>6</v>
      </c>
      <c r="H8">
        <v>4</v>
      </c>
      <c r="I8" t="s">
        <v>118</v>
      </c>
      <c r="J8" t="s">
        <v>119</v>
      </c>
      <c r="L8" t="s">
        <v>120</v>
      </c>
      <c r="M8" t="s">
        <v>85</v>
      </c>
      <c r="O8" t="s">
        <v>14</v>
      </c>
      <c r="P8" t="s">
        <v>121</v>
      </c>
      <c r="Q8" t="s">
        <v>122</v>
      </c>
      <c r="R8">
        <v>2013</v>
      </c>
      <c r="S8" t="s">
        <v>123</v>
      </c>
      <c r="U8" t="s">
        <v>124</v>
      </c>
      <c r="V8" t="s">
        <v>125</v>
      </c>
      <c r="W8" t="s">
        <v>91</v>
      </c>
      <c r="X8" t="s">
        <v>126</v>
      </c>
      <c r="Y8" t="s">
        <v>127</v>
      </c>
      <c r="Z8" t="s">
        <v>128</v>
      </c>
      <c r="AA8" t="s">
        <v>129</v>
      </c>
      <c r="AB8" t="s">
        <v>130</v>
      </c>
      <c r="AC8" t="s">
        <v>131</v>
      </c>
      <c r="AD8" t="s">
        <v>132</v>
      </c>
      <c r="AE8" t="s">
        <v>133</v>
      </c>
      <c r="AF8" t="s">
        <v>100</v>
      </c>
      <c r="AG8" t="s">
        <v>102</v>
      </c>
      <c r="AH8" t="s">
        <v>102</v>
      </c>
      <c r="AI8" t="s">
        <v>134</v>
      </c>
      <c r="AJ8" t="s">
        <v>135</v>
      </c>
      <c r="AM8" t="s">
        <v>136</v>
      </c>
      <c r="AN8" t="s">
        <v>137</v>
      </c>
      <c r="AU8">
        <v>15.81</v>
      </c>
      <c r="AW8" t="s">
        <v>108</v>
      </c>
      <c r="AX8">
        <v>20</v>
      </c>
      <c r="AY8" t="s">
        <v>103</v>
      </c>
      <c r="AZ8" t="s">
        <v>109</v>
      </c>
      <c r="BA8" t="s">
        <v>138</v>
      </c>
      <c r="BB8">
        <v>23</v>
      </c>
      <c r="BC8">
        <v>26</v>
      </c>
      <c r="BD8">
        <v>0.5</v>
      </c>
      <c r="BE8" t="s">
        <v>139</v>
      </c>
      <c r="BF8">
        <v>30</v>
      </c>
      <c r="BG8">
        <v>0.3</v>
      </c>
      <c r="BM8">
        <v>6.4</v>
      </c>
      <c r="BO8">
        <f>(7.87+7.63)/2</f>
        <v>7.75</v>
      </c>
      <c r="BU8" t="s">
        <v>140</v>
      </c>
      <c r="BV8">
        <v>37.740949999999998</v>
      </c>
      <c r="BW8">
        <v>0.49828810000000001</v>
      </c>
      <c r="BX8">
        <v>20</v>
      </c>
      <c r="BY8">
        <v>39.545960000000001</v>
      </c>
      <c r="BZ8">
        <v>0.49828810000000001</v>
      </c>
      <c r="CA8">
        <v>20</v>
      </c>
      <c r="CB8" t="s">
        <v>113</v>
      </c>
      <c r="CC8" t="s">
        <v>141</v>
      </c>
    </row>
    <row r="9" spans="1:81" x14ac:dyDescent="0.25">
      <c r="A9" t="s">
        <v>81</v>
      </c>
      <c r="B9">
        <v>8</v>
      </c>
      <c r="C9">
        <v>2</v>
      </c>
      <c r="D9">
        <v>2</v>
      </c>
      <c r="E9">
        <v>3</v>
      </c>
      <c r="F9">
        <v>3</v>
      </c>
      <c r="G9">
        <v>6</v>
      </c>
      <c r="H9">
        <v>5</v>
      </c>
      <c r="I9" t="s">
        <v>118</v>
      </c>
      <c r="J9" t="s">
        <v>119</v>
      </c>
      <c r="L9" t="s">
        <v>120</v>
      </c>
      <c r="M9" t="s">
        <v>85</v>
      </c>
      <c r="O9" t="s">
        <v>14</v>
      </c>
      <c r="P9" t="s">
        <v>121</v>
      </c>
      <c r="Q9" t="s">
        <v>122</v>
      </c>
      <c r="R9">
        <v>2013</v>
      </c>
      <c r="S9" t="s">
        <v>123</v>
      </c>
      <c r="U9" t="s">
        <v>124</v>
      </c>
      <c r="V9" t="s">
        <v>125</v>
      </c>
      <c r="W9" t="s">
        <v>91</v>
      </c>
      <c r="X9" t="s">
        <v>126</v>
      </c>
      <c r="Y9" t="s">
        <v>127</v>
      </c>
      <c r="Z9" t="s">
        <v>128</v>
      </c>
      <c r="AA9" t="s">
        <v>129</v>
      </c>
      <c r="AB9" t="s">
        <v>130</v>
      </c>
      <c r="AC9" t="s">
        <v>131</v>
      </c>
      <c r="AD9" t="s">
        <v>132</v>
      </c>
      <c r="AE9" t="s">
        <v>133</v>
      </c>
      <c r="AF9" t="s">
        <v>100</v>
      </c>
      <c r="AG9" t="s">
        <v>102</v>
      </c>
      <c r="AH9" t="s">
        <v>102</v>
      </c>
      <c r="AI9" t="s">
        <v>134</v>
      </c>
      <c r="AJ9" t="s">
        <v>135</v>
      </c>
      <c r="AM9" t="s">
        <v>136</v>
      </c>
      <c r="AN9" t="s">
        <v>137</v>
      </c>
      <c r="AU9">
        <v>15.81</v>
      </c>
      <c r="AW9" t="s">
        <v>108</v>
      </c>
      <c r="AX9">
        <v>20</v>
      </c>
      <c r="AY9" t="s">
        <v>103</v>
      </c>
      <c r="AZ9" t="s">
        <v>109</v>
      </c>
      <c r="BA9" t="s">
        <v>138</v>
      </c>
      <c r="BB9">
        <v>26</v>
      </c>
      <c r="BC9">
        <v>29</v>
      </c>
      <c r="BD9">
        <v>0.5</v>
      </c>
      <c r="BE9" t="s">
        <v>139</v>
      </c>
      <c r="BF9">
        <v>30</v>
      </c>
      <c r="BG9">
        <v>0.3</v>
      </c>
      <c r="BM9">
        <v>6.4</v>
      </c>
      <c r="BO9">
        <f>(7.63+7.2)/2</f>
        <v>7.415</v>
      </c>
      <c r="BU9" t="s">
        <v>140</v>
      </c>
      <c r="BV9">
        <v>39.545960000000001</v>
      </c>
      <c r="BW9">
        <v>0.49828810000000001</v>
      </c>
      <c r="BX9">
        <v>20</v>
      </c>
      <c r="BY9">
        <v>40.704740000000001</v>
      </c>
      <c r="BZ9">
        <v>1.594522</v>
      </c>
      <c r="CA9">
        <v>20</v>
      </c>
      <c r="CB9" t="s">
        <v>113</v>
      </c>
      <c r="CC9" t="s">
        <v>141</v>
      </c>
    </row>
    <row r="10" spans="1:81" x14ac:dyDescent="0.25">
      <c r="A10" t="s">
        <v>81</v>
      </c>
      <c r="B10">
        <v>9</v>
      </c>
      <c r="C10">
        <v>2</v>
      </c>
      <c r="D10">
        <v>2</v>
      </c>
      <c r="E10">
        <v>3</v>
      </c>
      <c r="F10">
        <v>3</v>
      </c>
      <c r="G10">
        <v>6</v>
      </c>
      <c r="H10">
        <v>6</v>
      </c>
      <c r="I10" t="s">
        <v>118</v>
      </c>
      <c r="J10" t="s">
        <v>119</v>
      </c>
      <c r="L10" t="s">
        <v>120</v>
      </c>
      <c r="M10" t="s">
        <v>85</v>
      </c>
      <c r="O10" t="s">
        <v>14</v>
      </c>
      <c r="P10" t="s">
        <v>121</v>
      </c>
      <c r="Q10" t="s">
        <v>122</v>
      </c>
      <c r="R10">
        <v>2013</v>
      </c>
      <c r="S10" t="s">
        <v>123</v>
      </c>
      <c r="U10" t="s">
        <v>124</v>
      </c>
      <c r="V10" t="s">
        <v>125</v>
      </c>
      <c r="W10" t="s">
        <v>91</v>
      </c>
      <c r="X10" t="s">
        <v>126</v>
      </c>
      <c r="Y10" t="s">
        <v>127</v>
      </c>
      <c r="Z10" t="s">
        <v>128</v>
      </c>
      <c r="AA10" t="s">
        <v>129</v>
      </c>
      <c r="AB10" t="s">
        <v>130</v>
      </c>
      <c r="AC10" t="s">
        <v>131</v>
      </c>
      <c r="AD10" t="s">
        <v>132</v>
      </c>
      <c r="AE10" t="s">
        <v>133</v>
      </c>
      <c r="AF10" t="s">
        <v>100</v>
      </c>
      <c r="AG10" t="s">
        <v>102</v>
      </c>
      <c r="AH10" t="s">
        <v>102</v>
      </c>
      <c r="AI10" t="s">
        <v>134</v>
      </c>
      <c r="AJ10" t="s">
        <v>135</v>
      </c>
      <c r="AM10" t="s">
        <v>136</v>
      </c>
      <c r="AN10" t="s">
        <v>137</v>
      </c>
      <c r="AU10">
        <v>15.81</v>
      </c>
      <c r="AW10" t="s">
        <v>108</v>
      </c>
      <c r="AX10">
        <v>20</v>
      </c>
      <c r="AY10" t="s">
        <v>103</v>
      </c>
      <c r="AZ10" t="s">
        <v>109</v>
      </c>
      <c r="BA10" t="s">
        <v>138</v>
      </c>
      <c r="BB10">
        <v>29</v>
      </c>
      <c r="BC10">
        <v>32</v>
      </c>
      <c r="BD10">
        <v>0.5</v>
      </c>
      <c r="BE10" t="s">
        <v>139</v>
      </c>
      <c r="BF10">
        <v>30</v>
      </c>
      <c r="BG10">
        <v>0.3</v>
      </c>
      <c r="BM10">
        <v>6.4</v>
      </c>
      <c r="BO10">
        <f>(7.2+6.57)/2</f>
        <v>6.8849999999999998</v>
      </c>
      <c r="BU10" t="s">
        <v>140</v>
      </c>
      <c r="BV10">
        <v>40.704740000000001</v>
      </c>
      <c r="BW10">
        <v>1.594522</v>
      </c>
      <c r="BX10">
        <v>20</v>
      </c>
      <c r="BY10">
        <v>41.841230000000003</v>
      </c>
      <c r="BZ10">
        <v>0.797261</v>
      </c>
      <c r="CA10">
        <v>20</v>
      </c>
      <c r="CB10" t="s">
        <v>113</v>
      </c>
      <c r="CC10" t="s">
        <v>141</v>
      </c>
    </row>
    <row r="11" spans="1:81" x14ac:dyDescent="0.25">
      <c r="A11" t="s">
        <v>81</v>
      </c>
      <c r="B11">
        <v>10</v>
      </c>
      <c r="C11">
        <v>2</v>
      </c>
      <c r="D11">
        <v>2</v>
      </c>
      <c r="E11">
        <v>3</v>
      </c>
      <c r="F11">
        <v>3</v>
      </c>
      <c r="G11">
        <v>7</v>
      </c>
      <c r="H11">
        <v>7</v>
      </c>
      <c r="I11" t="s">
        <v>118</v>
      </c>
      <c r="J11" t="s">
        <v>119</v>
      </c>
      <c r="L11" t="s">
        <v>120</v>
      </c>
      <c r="M11" t="s">
        <v>85</v>
      </c>
      <c r="O11" t="s">
        <v>14</v>
      </c>
      <c r="P11" t="s">
        <v>121</v>
      </c>
      <c r="Q11" t="s">
        <v>122</v>
      </c>
      <c r="R11">
        <v>2013</v>
      </c>
      <c r="S11" t="s">
        <v>123</v>
      </c>
      <c r="U11" t="s">
        <v>124</v>
      </c>
      <c r="V11" t="s">
        <v>125</v>
      </c>
      <c r="W11" t="s">
        <v>91</v>
      </c>
      <c r="X11" t="s">
        <v>126</v>
      </c>
      <c r="Y11" t="s">
        <v>127</v>
      </c>
      <c r="Z11" t="s">
        <v>128</v>
      </c>
      <c r="AA11" t="s">
        <v>129</v>
      </c>
      <c r="AB11" t="s">
        <v>130</v>
      </c>
      <c r="AC11" t="s">
        <v>131</v>
      </c>
      <c r="AD11" t="s">
        <v>132</v>
      </c>
      <c r="AE11" t="s">
        <v>133</v>
      </c>
      <c r="AF11" t="s">
        <v>100</v>
      </c>
      <c r="AG11" t="s">
        <v>102</v>
      </c>
      <c r="AH11" t="s">
        <v>102</v>
      </c>
      <c r="AI11" t="s">
        <v>134</v>
      </c>
      <c r="AJ11" t="s">
        <v>135</v>
      </c>
      <c r="AM11" t="s">
        <v>136</v>
      </c>
      <c r="AN11" t="s">
        <v>137</v>
      </c>
      <c r="AU11">
        <v>15.81</v>
      </c>
      <c r="AW11" t="s">
        <v>108</v>
      </c>
      <c r="AX11">
        <v>20</v>
      </c>
      <c r="AY11" t="s">
        <v>134</v>
      </c>
      <c r="AZ11" t="s">
        <v>109</v>
      </c>
      <c r="BA11" t="s">
        <v>142</v>
      </c>
      <c r="BB11">
        <v>20</v>
      </c>
      <c r="BC11">
        <v>23</v>
      </c>
      <c r="BD11">
        <v>0.5</v>
      </c>
      <c r="BE11" t="s">
        <v>139</v>
      </c>
      <c r="BF11">
        <v>30</v>
      </c>
      <c r="BG11">
        <v>0.3</v>
      </c>
      <c r="BM11">
        <v>6.4</v>
      </c>
      <c r="BO11">
        <f>(8.1+7.87)/2</f>
        <v>7.9849999999999994</v>
      </c>
      <c r="BU11" t="s">
        <v>140</v>
      </c>
      <c r="BV11">
        <v>37.451250000000002</v>
      </c>
      <c r="BW11">
        <v>0.59794579999999997</v>
      </c>
      <c r="BX11">
        <v>20</v>
      </c>
      <c r="BY11">
        <v>38.83287</v>
      </c>
      <c r="BZ11">
        <v>0.797261</v>
      </c>
      <c r="CA11">
        <v>20</v>
      </c>
      <c r="CB11" t="s">
        <v>113</v>
      </c>
      <c r="CC11" t="s">
        <v>141</v>
      </c>
    </row>
    <row r="12" spans="1:81" x14ac:dyDescent="0.25">
      <c r="A12" t="s">
        <v>81</v>
      </c>
      <c r="B12">
        <v>11</v>
      </c>
      <c r="C12">
        <v>2</v>
      </c>
      <c r="D12">
        <v>2</v>
      </c>
      <c r="E12">
        <v>3</v>
      </c>
      <c r="F12">
        <v>3</v>
      </c>
      <c r="G12">
        <v>7</v>
      </c>
      <c r="H12">
        <v>8</v>
      </c>
      <c r="I12" t="s">
        <v>118</v>
      </c>
      <c r="J12" t="s">
        <v>119</v>
      </c>
      <c r="L12" t="s">
        <v>120</v>
      </c>
      <c r="M12" t="s">
        <v>85</v>
      </c>
      <c r="O12" t="s">
        <v>14</v>
      </c>
      <c r="P12" t="s">
        <v>121</v>
      </c>
      <c r="Q12" t="s">
        <v>122</v>
      </c>
      <c r="R12">
        <v>2013</v>
      </c>
      <c r="S12" t="s">
        <v>123</v>
      </c>
      <c r="U12" t="s">
        <v>124</v>
      </c>
      <c r="V12" t="s">
        <v>125</v>
      </c>
      <c r="W12" t="s">
        <v>91</v>
      </c>
      <c r="X12" t="s">
        <v>126</v>
      </c>
      <c r="Y12" t="s">
        <v>127</v>
      </c>
      <c r="Z12" t="s">
        <v>128</v>
      </c>
      <c r="AA12" t="s">
        <v>129</v>
      </c>
      <c r="AB12" t="s">
        <v>130</v>
      </c>
      <c r="AC12" t="s">
        <v>131</v>
      </c>
      <c r="AD12" t="s">
        <v>132</v>
      </c>
      <c r="AE12" t="s">
        <v>133</v>
      </c>
      <c r="AF12" t="s">
        <v>100</v>
      </c>
      <c r="AG12" t="s">
        <v>102</v>
      </c>
      <c r="AH12" t="s">
        <v>102</v>
      </c>
      <c r="AI12" t="s">
        <v>134</v>
      </c>
      <c r="AJ12" t="s">
        <v>135</v>
      </c>
      <c r="AM12" t="s">
        <v>136</v>
      </c>
      <c r="AN12" t="s">
        <v>137</v>
      </c>
      <c r="AU12">
        <v>15.81</v>
      </c>
      <c r="AW12" t="s">
        <v>108</v>
      </c>
      <c r="AX12">
        <v>20</v>
      </c>
      <c r="AY12" t="s">
        <v>103</v>
      </c>
      <c r="AZ12" t="s">
        <v>109</v>
      </c>
      <c r="BA12" t="s">
        <v>142</v>
      </c>
      <c r="BB12">
        <v>23</v>
      </c>
      <c r="BC12">
        <v>26</v>
      </c>
      <c r="BD12">
        <v>0.5</v>
      </c>
      <c r="BE12" t="s">
        <v>139</v>
      </c>
      <c r="BF12">
        <v>30</v>
      </c>
      <c r="BG12">
        <v>0.3</v>
      </c>
      <c r="BM12">
        <v>6.4</v>
      </c>
      <c r="BO12">
        <f>(7.87+7.63)/2</f>
        <v>7.75</v>
      </c>
      <c r="BU12" t="s">
        <v>140</v>
      </c>
      <c r="BV12">
        <v>38.83287</v>
      </c>
      <c r="BW12">
        <v>0.797261</v>
      </c>
      <c r="BX12">
        <v>20</v>
      </c>
      <c r="BY12">
        <v>40.927579999999999</v>
      </c>
      <c r="BZ12">
        <v>0.99657629999999997</v>
      </c>
      <c r="CA12">
        <v>20</v>
      </c>
      <c r="CB12" t="s">
        <v>113</v>
      </c>
      <c r="CC12" t="s">
        <v>141</v>
      </c>
    </row>
    <row r="13" spans="1:81" x14ac:dyDescent="0.25">
      <c r="A13" t="s">
        <v>81</v>
      </c>
      <c r="B13">
        <v>12</v>
      </c>
      <c r="C13">
        <v>2</v>
      </c>
      <c r="D13">
        <v>2</v>
      </c>
      <c r="E13">
        <v>3</v>
      </c>
      <c r="F13">
        <v>3</v>
      </c>
      <c r="G13">
        <v>7</v>
      </c>
      <c r="H13">
        <v>9</v>
      </c>
      <c r="I13" t="s">
        <v>118</v>
      </c>
      <c r="J13" t="s">
        <v>119</v>
      </c>
      <c r="L13" t="s">
        <v>120</v>
      </c>
      <c r="M13" t="s">
        <v>85</v>
      </c>
      <c r="O13" t="s">
        <v>14</v>
      </c>
      <c r="P13" t="s">
        <v>121</v>
      </c>
      <c r="Q13" t="s">
        <v>122</v>
      </c>
      <c r="R13">
        <v>2013</v>
      </c>
      <c r="S13" t="s">
        <v>123</v>
      </c>
      <c r="U13" t="s">
        <v>124</v>
      </c>
      <c r="V13" t="s">
        <v>125</v>
      </c>
      <c r="W13" t="s">
        <v>91</v>
      </c>
      <c r="X13" t="s">
        <v>126</v>
      </c>
      <c r="Y13" t="s">
        <v>127</v>
      </c>
      <c r="Z13" t="s">
        <v>128</v>
      </c>
      <c r="AA13" t="s">
        <v>129</v>
      </c>
      <c r="AB13" t="s">
        <v>130</v>
      </c>
      <c r="AC13" t="s">
        <v>131</v>
      </c>
      <c r="AD13" t="s">
        <v>132</v>
      </c>
      <c r="AE13" t="s">
        <v>133</v>
      </c>
      <c r="AF13" t="s">
        <v>100</v>
      </c>
      <c r="AG13" t="s">
        <v>102</v>
      </c>
      <c r="AH13" t="s">
        <v>102</v>
      </c>
      <c r="AI13" t="s">
        <v>134</v>
      </c>
      <c r="AJ13" t="s">
        <v>135</v>
      </c>
      <c r="AM13" t="s">
        <v>136</v>
      </c>
      <c r="AN13" t="s">
        <v>137</v>
      </c>
      <c r="AU13">
        <v>15.81</v>
      </c>
      <c r="AW13" t="s">
        <v>108</v>
      </c>
      <c r="AX13">
        <v>20</v>
      </c>
      <c r="AY13" t="s">
        <v>103</v>
      </c>
      <c r="AZ13" t="s">
        <v>109</v>
      </c>
      <c r="BA13" t="s">
        <v>142</v>
      </c>
      <c r="BB13">
        <v>26</v>
      </c>
      <c r="BC13">
        <v>29</v>
      </c>
      <c r="BD13">
        <v>0.5</v>
      </c>
      <c r="BE13" t="s">
        <v>139</v>
      </c>
      <c r="BF13">
        <v>30</v>
      </c>
      <c r="BG13">
        <v>0.3</v>
      </c>
      <c r="BM13">
        <v>6.4</v>
      </c>
      <c r="BO13">
        <f>(7.63+7.2)/2</f>
        <v>7.415</v>
      </c>
      <c r="BU13" t="s">
        <v>140</v>
      </c>
      <c r="BV13">
        <v>40.927579999999999</v>
      </c>
      <c r="BW13">
        <v>0.99657629999999997</v>
      </c>
      <c r="BX13">
        <v>20</v>
      </c>
      <c r="BY13">
        <v>42.197769999999998</v>
      </c>
      <c r="BZ13">
        <v>0.69760339999999998</v>
      </c>
      <c r="CA13">
        <v>20</v>
      </c>
      <c r="CB13" t="s">
        <v>113</v>
      </c>
      <c r="CC13" t="s">
        <v>141</v>
      </c>
    </row>
    <row r="14" spans="1:81" x14ac:dyDescent="0.25">
      <c r="A14" t="s">
        <v>81</v>
      </c>
      <c r="B14">
        <v>13</v>
      </c>
      <c r="C14">
        <v>2</v>
      </c>
      <c r="D14">
        <v>2</v>
      </c>
      <c r="E14">
        <v>3</v>
      </c>
      <c r="F14">
        <v>3</v>
      </c>
      <c r="G14">
        <v>7</v>
      </c>
      <c r="H14">
        <v>10</v>
      </c>
      <c r="I14" t="s">
        <v>118</v>
      </c>
      <c r="J14" t="s">
        <v>119</v>
      </c>
      <c r="L14" t="s">
        <v>120</v>
      </c>
      <c r="M14" t="s">
        <v>85</v>
      </c>
      <c r="O14" t="s">
        <v>14</v>
      </c>
      <c r="P14" t="s">
        <v>121</v>
      </c>
      <c r="Q14" t="s">
        <v>122</v>
      </c>
      <c r="R14">
        <v>2013</v>
      </c>
      <c r="S14" t="s">
        <v>123</v>
      </c>
      <c r="U14" t="s">
        <v>124</v>
      </c>
      <c r="V14" t="s">
        <v>125</v>
      </c>
      <c r="W14" t="s">
        <v>91</v>
      </c>
      <c r="X14" t="s">
        <v>126</v>
      </c>
      <c r="Y14" t="s">
        <v>127</v>
      </c>
      <c r="Z14" t="s">
        <v>128</v>
      </c>
      <c r="AA14" t="s">
        <v>129</v>
      </c>
      <c r="AB14" t="s">
        <v>130</v>
      </c>
      <c r="AC14" t="s">
        <v>131</v>
      </c>
      <c r="AD14" t="s">
        <v>132</v>
      </c>
      <c r="AE14" t="s">
        <v>133</v>
      </c>
      <c r="AF14" t="s">
        <v>100</v>
      </c>
      <c r="AG14" t="s">
        <v>102</v>
      </c>
      <c r="AH14" t="s">
        <v>102</v>
      </c>
      <c r="AI14" t="s">
        <v>134</v>
      </c>
      <c r="AJ14" t="s">
        <v>135</v>
      </c>
      <c r="AM14" t="s">
        <v>136</v>
      </c>
      <c r="AN14" t="s">
        <v>137</v>
      </c>
      <c r="AU14">
        <v>15.81</v>
      </c>
      <c r="AW14" t="s">
        <v>108</v>
      </c>
      <c r="AX14">
        <v>20</v>
      </c>
      <c r="AY14" t="s">
        <v>103</v>
      </c>
      <c r="AZ14" t="s">
        <v>109</v>
      </c>
      <c r="BA14" t="s">
        <v>142</v>
      </c>
      <c r="BB14">
        <v>29</v>
      </c>
      <c r="BC14">
        <v>32</v>
      </c>
      <c r="BD14">
        <v>0.5</v>
      </c>
      <c r="BE14" t="s">
        <v>139</v>
      </c>
      <c r="BF14">
        <v>30</v>
      </c>
      <c r="BG14">
        <v>0.3</v>
      </c>
      <c r="BM14">
        <v>6.4</v>
      </c>
      <c r="BO14">
        <f>(7.2+6.57)/2</f>
        <v>6.8849999999999998</v>
      </c>
      <c r="BU14" t="s">
        <v>140</v>
      </c>
      <c r="BV14">
        <v>42.197769999999998</v>
      </c>
      <c r="BW14">
        <v>0.69760339999999998</v>
      </c>
      <c r="BX14">
        <v>20</v>
      </c>
      <c r="BY14">
        <v>42.95543</v>
      </c>
      <c r="BZ14">
        <v>0.89691860000000001</v>
      </c>
      <c r="CA14">
        <v>20</v>
      </c>
      <c r="CB14" t="s">
        <v>113</v>
      </c>
      <c r="CC14" t="s">
        <v>141</v>
      </c>
    </row>
    <row r="15" spans="1:81" x14ac:dyDescent="0.25">
      <c r="A15" t="s">
        <v>81</v>
      </c>
      <c r="B15">
        <v>14</v>
      </c>
      <c r="C15">
        <v>4</v>
      </c>
      <c r="D15">
        <v>4</v>
      </c>
      <c r="E15">
        <v>4</v>
      </c>
      <c r="F15">
        <v>4</v>
      </c>
      <c r="G15">
        <v>8</v>
      </c>
      <c r="H15">
        <v>11</v>
      </c>
      <c r="I15" t="s">
        <v>118</v>
      </c>
      <c r="J15" t="s">
        <v>143</v>
      </c>
      <c r="M15" t="s">
        <v>85</v>
      </c>
      <c r="O15" t="s">
        <v>14</v>
      </c>
      <c r="P15" t="s">
        <v>144</v>
      </c>
      <c r="Q15" t="s">
        <v>145</v>
      </c>
      <c r="R15">
        <v>2020</v>
      </c>
      <c r="S15" t="s">
        <v>146</v>
      </c>
      <c r="U15" t="s">
        <v>147</v>
      </c>
      <c r="V15" t="s">
        <v>148</v>
      </c>
      <c r="W15" t="s">
        <v>91</v>
      </c>
      <c r="X15" t="s">
        <v>126</v>
      </c>
      <c r="Y15" t="s">
        <v>127</v>
      </c>
      <c r="Z15" t="s">
        <v>128</v>
      </c>
      <c r="AA15" t="s">
        <v>149</v>
      </c>
      <c r="AB15" t="s">
        <v>150</v>
      </c>
      <c r="AC15" t="s">
        <v>151</v>
      </c>
      <c r="AD15" t="s">
        <v>132</v>
      </c>
      <c r="AE15" t="s">
        <v>133</v>
      </c>
      <c r="AF15" t="s">
        <v>100</v>
      </c>
      <c r="AG15" t="s">
        <v>102</v>
      </c>
      <c r="AH15" t="s">
        <v>102</v>
      </c>
      <c r="AI15" t="s">
        <v>134</v>
      </c>
      <c r="AJ15" t="s">
        <v>135</v>
      </c>
      <c r="AM15" t="s">
        <v>136</v>
      </c>
      <c r="AN15" t="s">
        <v>137</v>
      </c>
      <c r="AT15">
        <f>(11.56*10)</f>
        <v>115.60000000000001</v>
      </c>
      <c r="AU15">
        <v>15.96</v>
      </c>
      <c r="AW15" t="s">
        <v>108</v>
      </c>
      <c r="AX15">
        <v>30</v>
      </c>
      <c r="AY15" t="s">
        <v>134</v>
      </c>
      <c r="AZ15" t="s">
        <v>109</v>
      </c>
      <c r="BA15" t="s">
        <v>138</v>
      </c>
      <c r="BB15">
        <v>30</v>
      </c>
      <c r="BC15">
        <v>33</v>
      </c>
      <c r="BE15" t="s">
        <v>139</v>
      </c>
      <c r="BF15">
        <v>7</v>
      </c>
      <c r="BG15">
        <v>2</v>
      </c>
      <c r="BM15">
        <f>(6.8+6.6+4.9+4.7)/4</f>
        <v>5.7499999999999991</v>
      </c>
      <c r="BO15">
        <f>(7.5+7.65+7.75+7.25)/4</f>
        <v>7.5374999999999996</v>
      </c>
      <c r="BU15" t="s">
        <v>152</v>
      </c>
      <c r="BV15">
        <v>45.5</v>
      </c>
      <c r="BW15">
        <v>0.79</v>
      </c>
      <c r="BX15">
        <v>20</v>
      </c>
      <c r="BY15">
        <v>45</v>
      </c>
      <c r="BZ15">
        <v>0.79</v>
      </c>
      <c r="CA15">
        <v>20</v>
      </c>
      <c r="CB15" t="s">
        <v>113</v>
      </c>
      <c r="CC15" t="s">
        <v>153</v>
      </c>
    </row>
    <row r="16" spans="1:81" x14ac:dyDescent="0.25">
      <c r="A16" t="s">
        <v>81</v>
      </c>
      <c r="B16">
        <v>15</v>
      </c>
      <c r="C16">
        <v>4</v>
      </c>
      <c r="D16">
        <v>4</v>
      </c>
      <c r="E16">
        <v>4</v>
      </c>
      <c r="F16">
        <v>4</v>
      </c>
      <c r="G16">
        <v>8</v>
      </c>
      <c r="H16">
        <v>12</v>
      </c>
      <c r="I16" t="s">
        <v>118</v>
      </c>
      <c r="J16" t="s">
        <v>143</v>
      </c>
      <c r="M16" t="s">
        <v>85</v>
      </c>
      <c r="O16" t="s">
        <v>14</v>
      </c>
      <c r="P16" t="s">
        <v>144</v>
      </c>
      <c r="Q16" t="s">
        <v>145</v>
      </c>
      <c r="R16">
        <v>2020</v>
      </c>
      <c r="S16" t="s">
        <v>146</v>
      </c>
      <c r="U16" t="s">
        <v>147</v>
      </c>
      <c r="V16" t="s">
        <v>148</v>
      </c>
      <c r="W16" t="s">
        <v>91</v>
      </c>
      <c r="X16" t="s">
        <v>126</v>
      </c>
      <c r="Y16" t="s">
        <v>127</v>
      </c>
      <c r="Z16" t="s">
        <v>128</v>
      </c>
      <c r="AA16" t="s">
        <v>149</v>
      </c>
      <c r="AB16" t="s">
        <v>150</v>
      </c>
      <c r="AC16" t="s">
        <v>151</v>
      </c>
      <c r="AD16" t="s">
        <v>132</v>
      </c>
      <c r="AE16" t="s">
        <v>133</v>
      </c>
      <c r="AF16" t="s">
        <v>100</v>
      </c>
      <c r="AG16" t="s">
        <v>102</v>
      </c>
      <c r="AH16" t="s">
        <v>102</v>
      </c>
      <c r="AI16" t="s">
        <v>134</v>
      </c>
      <c r="AJ16" t="s">
        <v>135</v>
      </c>
      <c r="AM16" t="s">
        <v>136</v>
      </c>
      <c r="AN16" t="s">
        <v>137</v>
      </c>
      <c r="AT16">
        <f>11.56*10</f>
        <v>115.60000000000001</v>
      </c>
      <c r="AU16">
        <v>15.96</v>
      </c>
      <c r="AW16" t="s">
        <v>108</v>
      </c>
      <c r="AX16">
        <v>30</v>
      </c>
      <c r="AY16" t="s">
        <v>103</v>
      </c>
      <c r="AZ16" t="s">
        <v>109</v>
      </c>
      <c r="BA16" t="s">
        <v>138</v>
      </c>
      <c r="BB16">
        <v>33</v>
      </c>
      <c r="BC16">
        <v>36</v>
      </c>
      <c r="BE16" t="s">
        <v>139</v>
      </c>
      <c r="BF16">
        <v>7</v>
      </c>
      <c r="BG16">
        <v>2</v>
      </c>
      <c r="BM16">
        <f>(6.6+5.9+4.7+3.9)/4</f>
        <v>5.2749999999999995</v>
      </c>
      <c r="BO16">
        <f>(7.65+7.6+7.25+7.5)/4</f>
        <v>7.5</v>
      </c>
      <c r="BU16" t="s">
        <v>152</v>
      </c>
      <c r="BV16">
        <v>45</v>
      </c>
      <c r="BW16">
        <v>0.79</v>
      </c>
      <c r="BX16">
        <v>20</v>
      </c>
      <c r="BY16">
        <v>43.5</v>
      </c>
      <c r="BZ16">
        <v>0.56999999999999995</v>
      </c>
      <c r="CA16">
        <v>20</v>
      </c>
      <c r="CB16" t="s">
        <v>113</v>
      </c>
      <c r="CC16" t="s">
        <v>153</v>
      </c>
    </row>
    <row r="17" spans="1:81" x14ac:dyDescent="0.25">
      <c r="A17" t="s">
        <v>81</v>
      </c>
      <c r="B17">
        <v>16</v>
      </c>
      <c r="C17">
        <v>5</v>
      </c>
      <c r="D17">
        <v>5</v>
      </c>
      <c r="E17">
        <v>5</v>
      </c>
      <c r="F17">
        <v>5</v>
      </c>
      <c r="G17">
        <v>9</v>
      </c>
      <c r="H17">
        <v>13</v>
      </c>
      <c r="I17" t="s">
        <v>154</v>
      </c>
      <c r="J17" t="s">
        <v>83</v>
      </c>
      <c r="K17" s="3" t="s">
        <v>155</v>
      </c>
      <c r="M17" t="s">
        <v>85</v>
      </c>
      <c r="O17" t="s">
        <v>14</v>
      </c>
      <c r="P17" t="s">
        <v>156</v>
      </c>
      <c r="Q17" t="s">
        <v>157</v>
      </c>
      <c r="R17">
        <v>2020</v>
      </c>
      <c r="S17" t="s">
        <v>158</v>
      </c>
      <c r="U17" t="s">
        <v>159</v>
      </c>
      <c r="V17" t="s">
        <v>160</v>
      </c>
      <c r="W17" t="s">
        <v>91</v>
      </c>
      <c r="X17" t="s">
        <v>126</v>
      </c>
      <c r="Y17" t="s">
        <v>127</v>
      </c>
      <c r="Z17" t="s">
        <v>128</v>
      </c>
      <c r="AA17" t="s">
        <v>161</v>
      </c>
      <c r="AB17" t="s">
        <v>162</v>
      </c>
      <c r="AC17" t="s">
        <v>163</v>
      </c>
      <c r="AD17" t="s">
        <v>132</v>
      </c>
      <c r="AE17" t="s">
        <v>133</v>
      </c>
      <c r="AF17" t="s">
        <v>100</v>
      </c>
      <c r="AG17" t="s">
        <v>102</v>
      </c>
      <c r="AH17" t="s">
        <v>102</v>
      </c>
      <c r="AI17" t="s">
        <v>134</v>
      </c>
      <c r="AJ17" t="s">
        <v>135</v>
      </c>
      <c r="AM17" t="s">
        <v>136</v>
      </c>
      <c r="AN17" t="s">
        <v>106</v>
      </c>
      <c r="AR17" t="s">
        <v>439</v>
      </c>
      <c r="AS17">
        <v>2016</v>
      </c>
      <c r="AT17">
        <f>(18.16646+18.50163)/2</f>
        <v>18.334045</v>
      </c>
      <c r="AU17">
        <f>(0.1135613+0.1218529)/2</f>
        <v>0.11770710000000001</v>
      </c>
      <c r="AW17" t="s">
        <v>108</v>
      </c>
      <c r="AX17">
        <v>26</v>
      </c>
      <c r="AY17" t="s">
        <v>103</v>
      </c>
      <c r="AZ17" t="s">
        <v>109</v>
      </c>
      <c r="BA17" t="s">
        <v>138</v>
      </c>
      <c r="BB17">
        <v>22</v>
      </c>
      <c r="BC17">
        <v>34</v>
      </c>
      <c r="BD17">
        <v>0.2</v>
      </c>
      <c r="BE17" t="s">
        <v>139</v>
      </c>
      <c r="BF17">
        <v>22</v>
      </c>
      <c r="BG17">
        <v>0.3</v>
      </c>
      <c r="BN17">
        <v>0.3</v>
      </c>
      <c r="BP17">
        <v>12</v>
      </c>
      <c r="BU17" t="s">
        <v>164</v>
      </c>
      <c r="BV17">
        <v>38.8125</v>
      </c>
      <c r="BW17">
        <v>0.63412950000000001</v>
      </c>
      <c r="BX17">
        <v>80</v>
      </c>
      <c r="BY17">
        <v>43.031669999999998</v>
      </c>
      <c r="BZ17">
        <v>0.26185609999999998</v>
      </c>
      <c r="CA17">
        <v>120</v>
      </c>
      <c r="CB17" t="s">
        <v>113</v>
      </c>
      <c r="CC17" t="s">
        <v>114</v>
      </c>
    </row>
    <row r="18" spans="1:81" x14ac:dyDescent="0.25">
      <c r="A18" t="s">
        <v>81</v>
      </c>
      <c r="B18">
        <v>17</v>
      </c>
      <c r="C18">
        <v>5</v>
      </c>
      <c r="D18">
        <v>5</v>
      </c>
      <c r="E18">
        <v>5</v>
      </c>
      <c r="F18">
        <v>5</v>
      </c>
      <c r="G18">
        <v>10</v>
      </c>
      <c r="H18">
        <v>13</v>
      </c>
      <c r="I18" t="s">
        <v>154</v>
      </c>
      <c r="J18" t="s">
        <v>83</v>
      </c>
      <c r="K18" s="3" t="s">
        <v>155</v>
      </c>
      <c r="M18" t="s">
        <v>85</v>
      </c>
      <c r="O18" t="s">
        <v>14</v>
      </c>
      <c r="P18" t="s">
        <v>156</v>
      </c>
      <c r="Q18" t="s">
        <v>157</v>
      </c>
      <c r="R18">
        <v>2020</v>
      </c>
      <c r="S18" t="s">
        <v>158</v>
      </c>
      <c r="U18" t="s">
        <v>159</v>
      </c>
      <c r="V18" t="s">
        <v>160</v>
      </c>
      <c r="W18" t="s">
        <v>91</v>
      </c>
      <c r="X18" t="s">
        <v>126</v>
      </c>
      <c r="Y18" t="s">
        <v>127</v>
      </c>
      <c r="Z18" t="s">
        <v>128</v>
      </c>
      <c r="AA18" t="s">
        <v>161</v>
      </c>
      <c r="AB18" t="s">
        <v>162</v>
      </c>
      <c r="AC18" t="s">
        <v>163</v>
      </c>
      <c r="AD18" t="s">
        <v>132</v>
      </c>
      <c r="AE18" t="s">
        <v>133</v>
      </c>
      <c r="AF18" t="s">
        <v>100</v>
      </c>
      <c r="AG18" t="s">
        <v>102</v>
      </c>
      <c r="AH18" t="s">
        <v>102</v>
      </c>
      <c r="AI18" t="s">
        <v>134</v>
      </c>
      <c r="AJ18" t="s">
        <v>135</v>
      </c>
      <c r="AM18" t="s">
        <v>136</v>
      </c>
      <c r="AN18" t="s">
        <v>106</v>
      </c>
      <c r="AR18" t="s">
        <v>439</v>
      </c>
      <c r="AS18">
        <v>2016</v>
      </c>
      <c r="AT18">
        <f>(18.16646+18.53624)/2</f>
        <v>18.35135</v>
      </c>
      <c r="AU18">
        <f>(0.1135613+0.1218529)/2</f>
        <v>0.11770710000000001</v>
      </c>
      <c r="AW18" t="s">
        <v>108</v>
      </c>
      <c r="AX18">
        <v>26</v>
      </c>
      <c r="AY18" t="s">
        <v>103</v>
      </c>
      <c r="AZ18" t="s">
        <v>109</v>
      </c>
      <c r="BA18" t="s">
        <v>138</v>
      </c>
      <c r="BB18">
        <v>22</v>
      </c>
      <c r="BC18">
        <v>34</v>
      </c>
      <c r="BD18">
        <v>0.2</v>
      </c>
      <c r="BE18" t="s">
        <v>139</v>
      </c>
      <c r="BF18">
        <v>32</v>
      </c>
      <c r="BG18">
        <v>2.5000000000000001E-2</v>
      </c>
      <c r="BN18">
        <v>0.3</v>
      </c>
      <c r="BP18">
        <v>12</v>
      </c>
      <c r="BU18" t="s">
        <v>164</v>
      </c>
      <c r="BV18">
        <v>40.355699999999999</v>
      </c>
      <c r="BW18">
        <v>0.33387650000000002</v>
      </c>
      <c r="BX18">
        <v>79</v>
      </c>
      <c r="BY18">
        <v>42.022620000000003</v>
      </c>
      <c r="BZ18">
        <v>0.42208639999999997</v>
      </c>
      <c r="CA18">
        <v>85</v>
      </c>
      <c r="CB18" t="s">
        <v>113</v>
      </c>
      <c r="CC18" t="s">
        <v>114</v>
      </c>
    </row>
    <row r="19" spans="1:81" x14ac:dyDescent="0.25">
      <c r="A19" t="s">
        <v>81</v>
      </c>
      <c r="B19">
        <v>18</v>
      </c>
      <c r="C19">
        <v>6</v>
      </c>
      <c r="D19">
        <v>6</v>
      </c>
      <c r="E19">
        <v>6</v>
      </c>
      <c r="F19">
        <v>6</v>
      </c>
      <c r="G19">
        <v>11</v>
      </c>
      <c r="H19">
        <v>14</v>
      </c>
      <c r="J19" t="s">
        <v>83</v>
      </c>
      <c r="K19" s="3" t="s">
        <v>165</v>
      </c>
      <c r="M19" t="s">
        <v>85</v>
      </c>
      <c r="O19" t="s">
        <v>14</v>
      </c>
      <c r="P19" t="s">
        <v>166</v>
      </c>
      <c r="Q19" t="s">
        <v>167</v>
      </c>
      <c r="R19">
        <v>2019</v>
      </c>
      <c r="S19" t="s">
        <v>88</v>
      </c>
      <c r="U19" t="s">
        <v>168</v>
      </c>
      <c r="V19" t="s">
        <v>169</v>
      </c>
      <c r="W19" t="s">
        <v>170</v>
      </c>
      <c r="X19" t="s">
        <v>171</v>
      </c>
      <c r="Y19" t="s">
        <v>172</v>
      </c>
      <c r="Z19" t="s">
        <v>173</v>
      </c>
      <c r="AA19" t="s">
        <v>174</v>
      </c>
      <c r="AB19" t="s">
        <v>175</v>
      </c>
      <c r="AC19" t="s">
        <v>176</v>
      </c>
      <c r="AD19" t="s">
        <v>98</v>
      </c>
      <c r="AE19" t="s">
        <v>177</v>
      </c>
      <c r="AF19" t="s">
        <v>100</v>
      </c>
      <c r="AG19" t="s">
        <v>101</v>
      </c>
      <c r="AH19" t="s">
        <v>102</v>
      </c>
      <c r="AI19" t="s">
        <v>134</v>
      </c>
      <c r="AJ19" t="s">
        <v>104</v>
      </c>
      <c r="AM19" t="s">
        <v>178</v>
      </c>
      <c r="AN19" t="s">
        <v>106</v>
      </c>
      <c r="AO19">
        <v>39.51</v>
      </c>
      <c r="AP19">
        <v>116.61</v>
      </c>
      <c r="AQ19">
        <v>7</v>
      </c>
      <c r="AR19" t="s">
        <v>179</v>
      </c>
      <c r="AS19">
        <v>2013</v>
      </c>
      <c r="AV19">
        <v>0</v>
      </c>
      <c r="AW19" t="s">
        <v>108</v>
      </c>
      <c r="AX19">
        <v>22</v>
      </c>
      <c r="AY19" t="s">
        <v>103</v>
      </c>
      <c r="AZ19" t="s">
        <v>109</v>
      </c>
      <c r="BA19" t="s">
        <v>180</v>
      </c>
      <c r="BB19">
        <v>24</v>
      </c>
      <c r="BC19">
        <v>26</v>
      </c>
      <c r="BE19" t="s">
        <v>111</v>
      </c>
      <c r="BF19">
        <v>2.5</v>
      </c>
      <c r="BG19">
        <v>0.1</v>
      </c>
      <c r="BL19">
        <v>65</v>
      </c>
      <c r="BP19">
        <v>16</v>
      </c>
      <c r="BU19" t="s">
        <v>181</v>
      </c>
      <c r="BV19">
        <v>40.65455</v>
      </c>
      <c r="BW19">
        <v>0.49972719999999998</v>
      </c>
      <c r="BX19">
        <v>11</v>
      </c>
      <c r="BY19">
        <v>40.795879999999997</v>
      </c>
      <c r="BZ19">
        <v>0.31949290000000002</v>
      </c>
      <c r="CA19">
        <v>17</v>
      </c>
      <c r="CB19" t="s">
        <v>113</v>
      </c>
      <c r="CC19" t="s">
        <v>114</v>
      </c>
    </row>
    <row r="20" spans="1:81" x14ac:dyDescent="0.25">
      <c r="A20" t="s">
        <v>81</v>
      </c>
      <c r="B20">
        <v>19</v>
      </c>
      <c r="C20">
        <v>6</v>
      </c>
      <c r="D20">
        <v>6</v>
      </c>
      <c r="E20">
        <v>6</v>
      </c>
      <c r="F20">
        <v>6</v>
      </c>
      <c r="G20">
        <v>12</v>
      </c>
      <c r="H20">
        <v>15</v>
      </c>
      <c r="J20" t="s">
        <v>83</v>
      </c>
      <c r="K20" s="3" t="s">
        <v>165</v>
      </c>
      <c r="M20" t="s">
        <v>85</v>
      </c>
      <c r="O20" t="s">
        <v>14</v>
      </c>
      <c r="P20" t="s">
        <v>166</v>
      </c>
      <c r="Q20" t="s">
        <v>167</v>
      </c>
      <c r="R20">
        <v>2019</v>
      </c>
      <c r="S20" t="s">
        <v>88</v>
      </c>
      <c r="U20" t="s">
        <v>168</v>
      </c>
      <c r="V20" t="s">
        <v>169</v>
      </c>
      <c r="W20" t="s">
        <v>170</v>
      </c>
      <c r="X20" t="s">
        <v>171</v>
      </c>
      <c r="Y20" t="s">
        <v>172</v>
      </c>
      <c r="Z20" t="s">
        <v>173</v>
      </c>
      <c r="AA20" t="s">
        <v>174</v>
      </c>
      <c r="AB20" t="s">
        <v>175</v>
      </c>
      <c r="AC20" t="s">
        <v>176</v>
      </c>
      <c r="AD20" t="s">
        <v>98</v>
      </c>
      <c r="AE20" t="s">
        <v>177</v>
      </c>
      <c r="AF20" t="s">
        <v>100</v>
      </c>
      <c r="AG20" t="s">
        <v>101</v>
      </c>
      <c r="AH20" t="s">
        <v>102</v>
      </c>
      <c r="AI20" t="s">
        <v>134</v>
      </c>
      <c r="AJ20" t="s">
        <v>104</v>
      </c>
      <c r="AM20" t="s">
        <v>178</v>
      </c>
      <c r="AN20" t="s">
        <v>106</v>
      </c>
      <c r="AO20">
        <v>39.51</v>
      </c>
      <c r="AP20">
        <v>116.61</v>
      </c>
      <c r="AQ20">
        <v>7</v>
      </c>
      <c r="AR20" t="s">
        <v>179</v>
      </c>
      <c r="AS20">
        <v>2013</v>
      </c>
      <c r="AV20">
        <v>0</v>
      </c>
      <c r="AW20" t="s">
        <v>108</v>
      </c>
      <c r="AX20">
        <v>22</v>
      </c>
      <c r="AY20" t="s">
        <v>103</v>
      </c>
      <c r="AZ20" t="s">
        <v>109</v>
      </c>
      <c r="BA20" t="s">
        <v>180</v>
      </c>
      <c r="BB20">
        <v>26</v>
      </c>
      <c r="BC20">
        <v>28</v>
      </c>
      <c r="BE20" t="s">
        <v>111</v>
      </c>
      <c r="BF20">
        <v>2.5</v>
      </c>
      <c r="BG20">
        <v>0.1</v>
      </c>
      <c r="BL20">
        <v>65</v>
      </c>
      <c r="BP20">
        <v>16</v>
      </c>
      <c r="BU20" t="s">
        <v>182</v>
      </c>
      <c r="BV20">
        <v>40.633679999999998</v>
      </c>
      <c r="BW20">
        <v>0.4454612</v>
      </c>
      <c r="BX20">
        <v>19</v>
      </c>
      <c r="BY20">
        <v>40.701630000000002</v>
      </c>
      <c r="BZ20">
        <v>0.32217220000000002</v>
      </c>
      <c r="CA20">
        <v>43</v>
      </c>
      <c r="CB20" t="s">
        <v>113</v>
      </c>
      <c r="CC20" t="s">
        <v>114</v>
      </c>
    </row>
    <row r="21" spans="1:81" x14ac:dyDescent="0.25">
      <c r="A21" t="s">
        <v>81</v>
      </c>
      <c r="B21">
        <v>20</v>
      </c>
      <c r="C21">
        <v>6</v>
      </c>
      <c r="D21">
        <v>6</v>
      </c>
      <c r="E21">
        <v>6</v>
      </c>
      <c r="F21">
        <v>6</v>
      </c>
      <c r="G21">
        <v>13</v>
      </c>
      <c r="H21">
        <v>16</v>
      </c>
      <c r="J21" t="s">
        <v>83</v>
      </c>
      <c r="K21" s="3" t="s">
        <v>165</v>
      </c>
      <c r="M21" t="s">
        <v>85</v>
      </c>
      <c r="O21" t="s">
        <v>14</v>
      </c>
      <c r="P21" t="s">
        <v>166</v>
      </c>
      <c r="Q21" t="s">
        <v>167</v>
      </c>
      <c r="R21">
        <v>2019</v>
      </c>
      <c r="S21" t="s">
        <v>88</v>
      </c>
      <c r="U21" t="s">
        <v>168</v>
      </c>
      <c r="V21" t="s">
        <v>169</v>
      </c>
      <c r="W21" t="s">
        <v>170</v>
      </c>
      <c r="X21" t="s">
        <v>171</v>
      </c>
      <c r="Y21" t="s">
        <v>172</v>
      </c>
      <c r="Z21" t="s">
        <v>173</v>
      </c>
      <c r="AA21" t="s">
        <v>174</v>
      </c>
      <c r="AB21" t="s">
        <v>175</v>
      </c>
      <c r="AC21" t="s">
        <v>176</v>
      </c>
      <c r="AD21" t="s">
        <v>98</v>
      </c>
      <c r="AE21" t="s">
        <v>177</v>
      </c>
      <c r="AF21" t="s">
        <v>100</v>
      </c>
      <c r="AG21" t="s">
        <v>101</v>
      </c>
      <c r="AH21" t="s">
        <v>102</v>
      </c>
      <c r="AI21" t="s">
        <v>134</v>
      </c>
      <c r="AJ21" t="s">
        <v>104</v>
      </c>
      <c r="AM21" t="s">
        <v>178</v>
      </c>
      <c r="AN21" t="s">
        <v>106</v>
      </c>
      <c r="AO21">
        <v>39.51</v>
      </c>
      <c r="AP21">
        <v>116.61</v>
      </c>
      <c r="AQ21">
        <v>7</v>
      </c>
      <c r="AR21" t="s">
        <v>179</v>
      </c>
      <c r="AS21">
        <v>2013</v>
      </c>
      <c r="AV21">
        <v>0</v>
      </c>
      <c r="AW21" t="s">
        <v>108</v>
      </c>
      <c r="AX21">
        <v>22</v>
      </c>
      <c r="AY21" t="s">
        <v>103</v>
      </c>
      <c r="AZ21" t="s">
        <v>109</v>
      </c>
      <c r="BA21" t="s">
        <v>180</v>
      </c>
      <c r="BB21">
        <v>24</v>
      </c>
      <c r="BC21">
        <v>26</v>
      </c>
      <c r="BE21" t="s">
        <v>111</v>
      </c>
      <c r="BF21">
        <v>3</v>
      </c>
      <c r="BG21">
        <v>0.1</v>
      </c>
      <c r="BL21">
        <v>65</v>
      </c>
      <c r="BP21">
        <v>16</v>
      </c>
      <c r="BU21" t="s">
        <v>181</v>
      </c>
      <c r="BV21">
        <v>40.485379999999999</v>
      </c>
      <c r="BW21">
        <v>0.46632380000000001</v>
      </c>
      <c r="BX21">
        <v>26</v>
      </c>
      <c r="BY21">
        <v>40.15</v>
      </c>
      <c r="BZ21">
        <v>0.25139610000000001</v>
      </c>
      <c r="CA21">
        <v>8</v>
      </c>
      <c r="CB21" t="s">
        <v>113</v>
      </c>
      <c r="CC21" t="s">
        <v>114</v>
      </c>
    </row>
    <row r="22" spans="1:81" x14ac:dyDescent="0.25">
      <c r="A22" t="s">
        <v>81</v>
      </c>
      <c r="B22">
        <v>21</v>
      </c>
      <c r="C22">
        <v>6</v>
      </c>
      <c r="D22">
        <v>6</v>
      </c>
      <c r="E22">
        <v>6</v>
      </c>
      <c r="F22">
        <v>6</v>
      </c>
      <c r="G22">
        <v>14</v>
      </c>
      <c r="H22">
        <v>17</v>
      </c>
      <c r="J22" t="s">
        <v>83</v>
      </c>
      <c r="K22" s="3" t="s">
        <v>165</v>
      </c>
      <c r="M22" t="s">
        <v>85</v>
      </c>
      <c r="O22" t="s">
        <v>14</v>
      </c>
      <c r="P22" t="s">
        <v>166</v>
      </c>
      <c r="Q22" t="s">
        <v>167</v>
      </c>
      <c r="R22">
        <v>2019</v>
      </c>
      <c r="S22" t="s">
        <v>88</v>
      </c>
      <c r="U22" t="s">
        <v>168</v>
      </c>
      <c r="V22" t="s">
        <v>169</v>
      </c>
      <c r="W22" t="s">
        <v>170</v>
      </c>
      <c r="X22" t="s">
        <v>171</v>
      </c>
      <c r="Y22" t="s">
        <v>172</v>
      </c>
      <c r="Z22" t="s">
        <v>173</v>
      </c>
      <c r="AA22" t="s">
        <v>174</v>
      </c>
      <c r="AB22" t="s">
        <v>175</v>
      </c>
      <c r="AC22" t="s">
        <v>176</v>
      </c>
      <c r="AD22" t="s">
        <v>98</v>
      </c>
      <c r="AE22" t="s">
        <v>177</v>
      </c>
      <c r="AF22" t="s">
        <v>100</v>
      </c>
      <c r="AG22" t="s">
        <v>101</v>
      </c>
      <c r="AH22" t="s">
        <v>102</v>
      </c>
      <c r="AI22" t="s">
        <v>134</v>
      </c>
      <c r="AJ22" t="s">
        <v>104</v>
      </c>
      <c r="AM22" t="s">
        <v>178</v>
      </c>
      <c r="AN22" t="s">
        <v>106</v>
      </c>
      <c r="AO22">
        <v>39.51</v>
      </c>
      <c r="AP22">
        <v>116.61</v>
      </c>
      <c r="AQ22">
        <v>7</v>
      </c>
      <c r="AR22" t="s">
        <v>179</v>
      </c>
      <c r="AS22">
        <v>2013</v>
      </c>
      <c r="AV22">
        <v>0</v>
      </c>
      <c r="AW22" t="s">
        <v>108</v>
      </c>
      <c r="AX22">
        <v>22</v>
      </c>
      <c r="AY22" t="s">
        <v>103</v>
      </c>
      <c r="AZ22" t="s">
        <v>109</v>
      </c>
      <c r="BA22" t="s">
        <v>180</v>
      </c>
      <c r="BB22">
        <v>26</v>
      </c>
      <c r="BC22">
        <v>28</v>
      </c>
      <c r="BE22" t="s">
        <v>111</v>
      </c>
      <c r="BF22">
        <v>3</v>
      </c>
      <c r="BG22">
        <v>0.1</v>
      </c>
      <c r="BL22">
        <v>65</v>
      </c>
      <c r="BP22">
        <v>16</v>
      </c>
      <c r="BU22" t="s">
        <v>182</v>
      </c>
      <c r="BV22">
        <v>40.461539999999999</v>
      </c>
      <c r="BW22">
        <v>0.35907319999999998</v>
      </c>
      <c r="BX22">
        <v>26</v>
      </c>
      <c r="BY22">
        <v>39.804290000000002</v>
      </c>
      <c r="BZ22">
        <v>0.30478719999999998</v>
      </c>
      <c r="CA22">
        <v>7</v>
      </c>
      <c r="CB22" t="s">
        <v>113</v>
      </c>
      <c r="CC22" t="s">
        <v>114</v>
      </c>
    </row>
    <row r="23" spans="1:81" x14ac:dyDescent="0.25">
      <c r="A23" t="s">
        <v>81</v>
      </c>
      <c r="B23">
        <v>22</v>
      </c>
      <c r="C23">
        <v>7</v>
      </c>
      <c r="D23">
        <v>7</v>
      </c>
      <c r="E23">
        <v>7</v>
      </c>
      <c r="F23">
        <v>7</v>
      </c>
      <c r="G23">
        <v>15</v>
      </c>
      <c r="H23">
        <v>18</v>
      </c>
      <c r="I23" t="s">
        <v>183</v>
      </c>
      <c r="J23" t="s">
        <v>184</v>
      </c>
      <c r="L23" t="s">
        <v>185</v>
      </c>
      <c r="M23" t="s">
        <v>85</v>
      </c>
      <c r="O23" t="s">
        <v>14</v>
      </c>
      <c r="P23" t="s">
        <v>186</v>
      </c>
      <c r="Q23" t="s">
        <v>187</v>
      </c>
      <c r="R23">
        <v>1979</v>
      </c>
      <c r="S23" t="s">
        <v>188</v>
      </c>
      <c r="V23" t="s">
        <v>189</v>
      </c>
      <c r="W23" t="s">
        <v>91</v>
      </c>
      <c r="X23" t="s">
        <v>126</v>
      </c>
      <c r="Y23" t="s">
        <v>190</v>
      </c>
      <c r="Z23" t="s">
        <v>191</v>
      </c>
      <c r="AA23" t="s">
        <v>192</v>
      </c>
      <c r="AB23" t="s">
        <v>193</v>
      </c>
      <c r="AC23" t="s">
        <v>194</v>
      </c>
      <c r="AD23" t="s">
        <v>132</v>
      </c>
      <c r="AE23" t="s">
        <v>133</v>
      </c>
      <c r="AF23" t="s">
        <v>100</v>
      </c>
      <c r="AG23" t="s">
        <v>102</v>
      </c>
      <c r="AH23" t="s">
        <v>102</v>
      </c>
      <c r="AI23" t="s">
        <v>134</v>
      </c>
      <c r="AJ23" t="s">
        <v>135</v>
      </c>
      <c r="AM23" t="s">
        <v>136</v>
      </c>
      <c r="AN23" t="s">
        <v>106</v>
      </c>
      <c r="AT23">
        <f t="shared" ref="AT23:AT32" si="0">((90+140)/2)</f>
        <v>115</v>
      </c>
      <c r="AU23">
        <f t="shared" ref="AU23:AU32" si="1">(7/26)/2</f>
        <v>0.13461538461538461</v>
      </c>
      <c r="AW23" t="s">
        <v>108</v>
      </c>
      <c r="AZ23" t="s">
        <v>109</v>
      </c>
      <c r="BA23" t="s">
        <v>138</v>
      </c>
      <c r="BB23">
        <v>5</v>
      </c>
      <c r="BC23">
        <v>15</v>
      </c>
      <c r="BD23">
        <v>0.2</v>
      </c>
      <c r="BE23" t="s">
        <v>139</v>
      </c>
      <c r="BF23">
        <v>14</v>
      </c>
      <c r="BG23">
        <f>1/60</f>
        <v>1.6666666666666666E-2</v>
      </c>
      <c r="BR23" t="s">
        <v>69</v>
      </c>
      <c r="BU23" t="s">
        <v>195</v>
      </c>
      <c r="BV23">
        <v>24.962029999999999</v>
      </c>
      <c r="BW23">
        <v>0.74916039999999995</v>
      </c>
      <c r="BX23">
        <v>16</v>
      </c>
      <c r="BY23">
        <v>27.202529999999999</v>
      </c>
      <c r="BZ23">
        <v>0.43916300000000003</v>
      </c>
      <c r="CA23">
        <v>16</v>
      </c>
      <c r="CB23" t="s">
        <v>113</v>
      </c>
      <c r="CC23" t="s">
        <v>196</v>
      </c>
    </row>
    <row r="24" spans="1:81" x14ac:dyDescent="0.25">
      <c r="A24" t="s">
        <v>81</v>
      </c>
      <c r="B24">
        <v>23</v>
      </c>
      <c r="C24">
        <v>7</v>
      </c>
      <c r="D24">
        <v>7</v>
      </c>
      <c r="E24">
        <v>7</v>
      </c>
      <c r="F24">
        <v>7</v>
      </c>
      <c r="G24">
        <v>16</v>
      </c>
      <c r="H24">
        <v>18</v>
      </c>
      <c r="I24" t="s">
        <v>183</v>
      </c>
      <c r="J24" t="s">
        <v>184</v>
      </c>
      <c r="L24" t="s">
        <v>185</v>
      </c>
      <c r="M24" t="s">
        <v>85</v>
      </c>
      <c r="O24" t="s">
        <v>14</v>
      </c>
      <c r="P24" t="s">
        <v>186</v>
      </c>
      <c r="Q24" t="s">
        <v>187</v>
      </c>
      <c r="R24">
        <v>1979</v>
      </c>
      <c r="S24" t="s">
        <v>188</v>
      </c>
      <c r="V24" t="s">
        <v>189</v>
      </c>
      <c r="W24" t="s">
        <v>91</v>
      </c>
      <c r="X24" t="s">
        <v>126</v>
      </c>
      <c r="Y24" t="s">
        <v>190</v>
      </c>
      <c r="Z24" t="s">
        <v>191</v>
      </c>
      <c r="AA24" t="s">
        <v>192</v>
      </c>
      <c r="AB24" t="s">
        <v>193</v>
      </c>
      <c r="AC24" t="s">
        <v>194</v>
      </c>
      <c r="AD24" t="s">
        <v>132</v>
      </c>
      <c r="AE24" t="s">
        <v>133</v>
      </c>
      <c r="AF24" t="s">
        <v>100</v>
      </c>
      <c r="AG24" t="s">
        <v>102</v>
      </c>
      <c r="AH24" t="s">
        <v>102</v>
      </c>
      <c r="AI24" t="s">
        <v>134</v>
      </c>
      <c r="AJ24" t="s">
        <v>135</v>
      </c>
      <c r="AM24" t="s">
        <v>136</v>
      </c>
      <c r="AN24" t="s">
        <v>106</v>
      </c>
      <c r="AT24">
        <f t="shared" si="0"/>
        <v>115</v>
      </c>
      <c r="AU24">
        <f t="shared" si="1"/>
        <v>0.13461538461538461</v>
      </c>
      <c r="AW24" t="s">
        <v>108</v>
      </c>
      <c r="AZ24" t="s">
        <v>109</v>
      </c>
      <c r="BA24" t="s">
        <v>142</v>
      </c>
      <c r="BB24">
        <v>5</v>
      </c>
      <c r="BC24">
        <v>15</v>
      </c>
      <c r="BD24">
        <v>0.2</v>
      </c>
      <c r="BE24" t="s">
        <v>139</v>
      </c>
      <c r="BF24">
        <v>14</v>
      </c>
      <c r="BG24">
        <f>1/60</f>
        <v>1.6666666666666666E-2</v>
      </c>
      <c r="BR24" t="s">
        <v>69</v>
      </c>
      <c r="BV24">
        <v>25.620249999999999</v>
      </c>
      <c r="BW24">
        <v>0.92999229999999999</v>
      </c>
      <c r="BX24">
        <v>16</v>
      </c>
      <c r="BY24">
        <v>27.5443</v>
      </c>
      <c r="BZ24">
        <v>0.28416429999999998</v>
      </c>
      <c r="CA24">
        <v>16</v>
      </c>
      <c r="CB24" t="s">
        <v>113</v>
      </c>
      <c r="CC24" t="s">
        <v>196</v>
      </c>
    </row>
    <row r="25" spans="1:81" x14ac:dyDescent="0.25">
      <c r="A25" t="s">
        <v>81</v>
      </c>
      <c r="B25">
        <v>24</v>
      </c>
      <c r="C25">
        <v>7</v>
      </c>
      <c r="D25">
        <v>7</v>
      </c>
      <c r="E25">
        <v>7</v>
      </c>
      <c r="F25">
        <v>7</v>
      </c>
      <c r="G25">
        <v>17</v>
      </c>
      <c r="H25">
        <v>19</v>
      </c>
      <c r="I25" t="s">
        <v>183</v>
      </c>
      <c r="J25" t="s">
        <v>184</v>
      </c>
      <c r="L25" t="s">
        <v>185</v>
      </c>
      <c r="M25" t="s">
        <v>85</v>
      </c>
      <c r="O25" t="s">
        <v>14</v>
      </c>
      <c r="P25" t="s">
        <v>186</v>
      </c>
      <c r="Q25" t="s">
        <v>187</v>
      </c>
      <c r="R25">
        <v>1979</v>
      </c>
      <c r="S25" t="s">
        <v>188</v>
      </c>
      <c r="V25" t="s">
        <v>189</v>
      </c>
      <c r="W25" t="s">
        <v>91</v>
      </c>
      <c r="X25" t="s">
        <v>126</v>
      </c>
      <c r="Y25" t="s">
        <v>190</v>
      </c>
      <c r="Z25" t="s">
        <v>191</v>
      </c>
      <c r="AA25" t="s">
        <v>192</v>
      </c>
      <c r="AB25" t="s">
        <v>193</v>
      </c>
      <c r="AC25" t="s">
        <v>194</v>
      </c>
      <c r="AD25" t="s">
        <v>132</v>
      </c>
      <c r="AE25" t="s">
        <v>133</v>
      </c>
      <c r="AF25" t="s">
        <v>100</v>
      </c>
      <c r="AG25" t="s">
        <v>102</v>
      </c>
      <c r="AH25" t="s">
        <v>102</v>
      </c>
      <c r="AI25" t="s">
        <v>134</v>
      </c>
      <c r="AJ25" t="s">
        <v>135</v>
      </c>
      <c r="AM25" t="s">
        <v>136</v>
      </c>
      <c r="AN25" t="s">
        <v>106</v>
      </c>
      <c r="AT25">
        <f t="shared" si="0"/>
        <v>115</v>
      </c>
      <c r="AU25">
        <f t="shared" si="1"/>
        <v>0.13461538461538461</v>
      </c>
      <c r="AW25" t="s">
        <v>108</v>
      </c>
      <c r="AZ25" t="s">
        <v>109</v>
      </c>
      <c r="BA25" t="s">
        <v>138</v>
      </c>
      <c r="BB25">
        <v>5</v>
      </c>
      <c r="BC25">
        <v>15</v>
      </c>
      <c r="BD25">
        <v>0.2</v>
      </c>
      <c r="BE25" t="s">
        <v>139</v>
      </c>
      <c r="BF25">
        <v>14</v>
      </c>
      <c r="BG25">
        <f>6/60</f>
        <v>0.1</v>
      </c>
      <c r="BR25" t="s">
        <v>69</v>
      </c>
      <c r="BV25">
        <v>24.860759999999999</v>
      </c>
      <c r="BW25">
        <v>0.56832859999999996</v>
      </c>
      <c r="BX25">
        <v>16</v>
      </c>
      <c r="BY25">
        <v>28.063289999999999</v>
      </c>
      <c r="BZ25">
        <v>0.33583049999999998</v>
      </c>
      <c r="CA25">
        <v>16</v>
      </c>
      <c r="CB25" t="s">
        <v>113</v>
      </c>
      <c r="CC25" t="s">
        <v>196</v>
      </c>
    </row>
    <row r="26" spans="1:81" x14ac:dyDescent="0.25">
      <c r="A26" t="s">
        <v>81</v>
      </c>
      <c r="B26">
        <v>25</v>
      </c>
      <c r="C26">
        <v>7</v>
      </c>
      <c r="D26">
        <v>7</v>
      </c>
      <c r="E26">
        <v>7</v>
      </c>
      <c r="F26">
        <v>7</v>
      </c>
      <c r="G26">
        <v>18</v>
      </c>
      <c r="H26">
        <v>19</v>
      </c>
      <c r="I26" t="s">
        <v>183</v>
      </c>
      <c r="J26" t="s">
        <v>184</v>
      </c>
      <c r="L26" t="s">
        <v>185</v>
      </c>
      <c r="M26" t="s">
        <v>85</v>
      </c>
      <c r="O26" t="s">
        <v>14</v>
      </c>
      <c r="P26" t="s">
        <v>186</v>
      </c>
      <c r="Q26" t="s">
        <v>187</v>
      </c>
      <c r="R26">
        <v>1979</v>
      </c>
      <c r="S26" t="s">
        <v>188</v>
      </c>
      <c r="V26" t="s">
        <v>189</v>
      </c>
      <c r="W26" t="s">
        <v>91</v>
      </c>
      <c r="X26" t="s">
        <v>126</v>
      </c>
      <c r="Y26" t="s">
        <v>190</v>
      </c>
      <c r="Z26" t="s">
        <v>191</v>
      </c>
      <c r="AA26" t="s">
        <v>192</v>
      </c>
      <c r="AB26" t="s">
        <v>193</v>
      </c>
      <c r="AC26" t="s">
        <v>194</v>
      </c>
      <c r="AD26" t="s">
        <v>132</v>
      </c>
      <c r="AE26" t="s">
        <v>133</v>
      </c>
      <c r="AF26" t="s">
        <v>100</v>
      </c>
      <c r="AG26" t="s">
        <v>102</v>
      </c>
      <c r="AH26" t="s">
        <v>102</v>
      </c>
      <c r="AI26" t="s">
        <v>134</v>
      </c>
      <c r="AJ26" t="s">
        <v>135</v>
      </c>
      <c r="AM26" t="s">
        <v>136</v>
      </c>
      <c r="AN26" t="s">
        <v>106</v>
      </c>
      <c r="AT26">
        <f t="shared" si="0"/>
        <v>115</v>
      </c>
      <c r="AU26">
        <f t="shared" si="1"/>
        <v>0.13461538461538461</v>
      </c>
      <c r="AW26" t="s">
        <v>108</v>
      </c>
      <c r="AZ26" t="s">
        <v>109</v>
      </c>
      <c r="BA26" t="s">
        <v>142</v>
      </c>
      <c r="BB26">
        <v>5</v>
      </c>
      <c r="BC26">
        <v>15</v>
      </c>
      <c r="BD26">
        <v>0.2</v>
      </c>
      <c r="BE26" t="s">
        <v>139</v>
      </c>
      <c r="BF26">
        <v>14</v>
      </c>
      <c r="BG26">
        <f>6/60</f>
        <v>0.1</v>
      </c>
      <c r="BR26" t="s">
        <v>69</v>
      </c>
      <c r="BV26">
        <v>26.075949999999999</v>
      </c>
      <c r="BW26">
        <v>0.51666239999999997</v>
      </c>
      <c r="BX26">
        <v>16</v>
      </c>
      <c r="BY26">
        <v>28.734179999999999</v>
      </c>
      <c r="BZ26">
        <v>0.28416429999999998</v>
      </c>
      <c r="CA26">
        <v>16</v>
      </c>
      <c r="CB26" t="s">
        <v>113</v>
      </c>
      <c r="CC26" t="s">
        <v>196</v>
      </c>
    </row>
    <row r="27" spans="1:81" x14ac:dyDescent="0.25">
      <c r="A27" t="s">
        <v>81</v>
      </c>
      <c r="B27">
        <v>26</v>
      </c>
      <c r="C27">
        <v>7</v>
      </c>
      <c r="D27">
        <v>7</v>
      </c>
      <c r="E27">
        <v>7</v>
      </c>
      <c r="F27">
        <v>7</v>
      </c>
      <c r="G27">
        <v>19</v>
      </c>
      <c r="H27">
        <v>20</v>
      </c>
      <c r="I27" t="s">
        <v>183</v>
      </c>
      <c r="J27" t="s">
        <v>184</v>
      </c>
      <c r="L27" t="s">
        <v>185</v>
      </c>
      <c r="M27" t="s">
        <v>85</v>
      </c>
      <c r="O27" t="s">
        <v>14</v>
      </c>
      <c r="P27" t="s">
        <v>186</v>
      </c>
      <c r="Q27" t="s">
        <v>187</v>
      </c>
      <c r="R27">
        <v>1979</v>
      </c>
      <c r="S27" t="s">
        <v>188</v>
      </c>
      <c r="V27" t="s">
        <v>189</v>
      </c>
      <c r="W27" t="s">
        <v>91</v>
      </c>
      <c r="X27" t="s">
        <v>126</v>
      </c>
      <c r="Y27" t="s">
        <v>190</v>
      </c>
      <c r="Z27" t="s">
        <v>191</v>
      </c>
      <c r="AA27" t="s">
        <v>192</v>
      </c>
      <c r="AB27" t="s">
        <v>193</v>
      </c>
      <c r="AC27" t="s">
        <v>194</v>
      </c>
      <c r="AD27" t="s">
        <v>132</v>
      </c>
      <c r="AE27" t="s">
        <v>133</v>
      </c>
      <c r="AF27" t="s">
        <v>100</v>
      </c>
      <c r="AG27" t="s">
        <v>102</v>
      </c>
      <c r="AH27" t="s">
        <v>102</v>
      </c>
      <c r="AI27" t="s">
        <v>134</v>
      </c>
      <c r="AJ27" t="s">
        <v>135</v>
      </c>
      <c r="AM27" t="s">
        <v>136</v>
      </c>
      <c r="AN27" t="s">
        <v>106</v>
      </c>
      <c r="AT27">
        <f t="shared" si="0"/>
        <v>115</v>
      </c>
      <c r="AU27">
        <f t="shared" si="1"/>
        <v>0.13461538461538461</v>
      </c>
      <c r="AW27" t="s">
        <v>108</v>
      </c>
      <c r="AZ27" t="s">
        <v>109</v>
      </c>
      <c r="BA27" t="s">
        <v>138</v>
      </c>
      <c r="BB27">
        <v>5</v>
      </c>
      <c r="BC27">
        <v>15</v>
      </c>
      <c r="BD27">
        <v>0.2</v>
      </c>
      <c r="BE27" t="s">
        <v>139</v>
      </c>
      <c r="BF27">
        <v>14</v>
      </c>
      <c r="BG27">
        <f>18/60</f>
        <v>0.3</v>
      </c>
      <c r="BR27" t="s">
        <v>69</v>
      </c>
      <c r="BV27">
        <v>25.32911</v>
      </c>
      <c r="BW27">
        <v>0.49082920000000002</v>
      </c>
      <c r="BX27">
        <v>16</v>
      </c>
      <c r="BY27">
        <v>28.696200000000001</v>
      </c>
      <c r="BZ27">
        <v>0.36166369999999998</v>
      </c>
      <c r="CA27">
        <v>16</v>
      </c>
      <c r="CB27" t="s">
        <v>113</v>
      </c>
      <c r="CC27" t="s">
        <v>196</v>
      </c>
    </row>
    <row r="28" spans="1:81" x14ac:dyDescent="0.25">
      <c r="A28" t="s">
        <v>81</v>
      </c>
      <c r="B28">
        <v>27</v>
      </c>
      <c r="C28">
        <v>7</v>
      </c>
      <c r="D28">
        <v>7</v>
      </c>
      <c r="E28">
        <v>7</v>
      </c>
      <c r="F28">
        <v>7</v>
      </c>
      <c r="G28">
        <v>20</v>
      </c>
      <c r="H28">
        <v>20</v>
      </c>
      <c r="I28" t="s">
        <v>183</v>
      </c>
      <c r="J28" t="s">
        <v>184</v>
      </c>
      <c r="L28" t="s">
        <v>185</v>
      </c>
      <c r="M28" t="s">
        <v>85</v>
      </c>
      <c r="O28" t="s">
        <v>14</v>
      </c>
      <c r="P28" t="s">
        <v>186</v>
      </c>
      <c r="Q28" t="s">
        <v>187</v>
      </c>
      <c r="R28">
        <v>1979</v>
      </c>
      <c r="S28" t="s">
        <v>188</v>
      </c>
      <c r="V28" t="s">
        <v>189</v>
      </c>
      <c r="W28" t="s">
        <v>91</v>
      </c>
      <c r="X28" t="s">
        <v>126</v>
      </c>
      <c r="Y28" t="s">
        <v>190</v>
      </c>
      <c r="Z28" t="s">
        <v>191</v>
      </c>
      <c r="AA28" t="s">
        <v>192</v>
      </c>
      <c r="AB28" t="s">
        <v>193</v>
      </c>
      <c r="AC28" t="s">
        <v>194</v>
      </c>
      <c r="AD28" t="s">
        <v>132</v>
      </c>
      <c r="AE28" t="s">
        <v>133</v>
      </c>
      <c r="AF28" t="s">
        <v>100</v>
      </c>
      <c r="AG28" t="s">
        <v>102</v>
      </c>
      <c r="AH28" t="s">
        <v>102</v>
      </c>
      <c r="AI28" t="s">
        <v>134</v>
      </c>
      <c r="AJ28" t="s">
        <v>135</v>
      </c>
      <c r="AM28" t="s">
        <v>136</v>
      </c>
      <c r="AN28" t="s">
        <v>106</v>
      </c>
      <c r="AT28">
        <f t="shared" si="0"/>
        <v>115</v>
      </c>
      <c r="AU28">
        <f t="shared" si="1"/>
        <v>0.13461538461538461</v>
      </c>
      <c r="AW28" t="s">
        <v>108</v>
      </c>
      <c r="AZ28" t="s">
        <v>109</v>
      </c>
      <c r="BA28" t="s">
        <v>142</v>
      </c>
      <c r="BB28">
        <v>5</v>
      </c>
      <c r="BC28">
        <v>15</v>
      </c>
      <c r="BD28">
        <v>0.2</v>
      </c>
      <c r="BE28" t="s">
        <v>139</v>
      </c>
      <c r="BF28">
        <v>14</v>
      </c>
      <c r="BG28">
        <f>18/60</f>
        <v>0.3</v>
      </c>
      <c r="BR28" t="s">
        <v>69</v>
      </c>
      <c r="BV28">
        <v>27.481010000000001</v>
      </c>
      <c r="BW28">
        <v>0.54249550000000002</v>
      </c>
      <c r="BX28">
        <v>16</v>
      </c>
      <c r="BY28">
        <v>29.67089</v>
      </c>
      <c r="BZ28">
        <v>0.46499610000000002</v>
      </c>
      <c r="CA28">
        <v>16</v>
      </c>
      <c r="CB28" t="s">
        <v>113</v>
      </c>
      <c r="CC28" t="s">
        <v>196</v>
      </c>
    </row>
    <row r="29" spans="1:81" x14ac:dyDescent="0.25">
      <c r="A29" t="s">
        <v>81</v>
      </c>
      <c r="B29">
        <v>28</v>
      </c>
      <c r="C29">
        <v>7</v>
      </c>
      <c r="D29">
        <v>7</v>
      </c>
      <c r="E29">
        <v>7</v>
      </c>
      <c r="F29">
        <v>7</v>
      </c>
      <c r="G29">
        <v>21</v>
      </c>
      <c r="H29">
        <v>21</v>
      </c>
      <c r="I29" t="s">
        <v>183</v>
      </c>
      <c r="J29" t="s">
        <v>184</v>
      </c>
      <c r="L29" t="s">
        <v>185</v>
      </c>
      <c r="M29" t="s">
        <v>85</v>
      </c>
      <c r="O29" t="s">
        <v>14</v>
      </c>
      <c r="P29" t="s">
        <v>186</v>
      </c>
      <c r="Q29" t="s">
        <v>187</v>
      </c>
      <c r="R29">
        <v>1979</v>
      </c>
      <c r="S29" t="s">
        <v>188</v>
      </c>
      <c r="V29" t="s">
        <v>189</v>
      </c>
      <c r="W29" t="s">
        <v>91</v>
      </c>
      <c r="X29" t="s">
        <v>126</v>
      </c>
      <c r="Y29" t="s">
        <v>190</v>
      </c>
      <c r="Z29" t="s">
        <v>191</v>
      </c>
      <c r="AA29" t="s">
        <v>192</v>
      </c>
      <c r="AB29" t="s">
        <v>193</v>
      </c>
      <c r="AC29" t="s">
        <v>194</v>
      </c>
      <c r="AD29" t="s">
        <v>132</v>
      </c>
      <c r="AE29" t="s">
        <v>133</v>
      </c>
      <c r="AF29" t="s">
        <v>100</v>
      </c>
      <c r="AG29" t="s">
        <v>102</v>
      </c>
      <c r="AH29" t="s">
        <v>102</v>
      </c>
      <c r="AI29" t="s">
        <v>134</v>
      </c>
      <c r="AJ29" t="s">
        <v>135</v>
      </c>
      <c r="AM29" t="s">
        <v>136</v>
      </c>
      <c r="AN29" t="s">
        <v>106</v>
      </c>
      <c r="AT29">
        <f t="shared" si="0"/>
        <v>115</v>
      </c>
      <c r="AU29">
        <f t="shared" si="1"/>
        <v>0.13461538461538461</v>
      </c>
      <c r="AW29" t="s">
        <v>108</v>
      </c>
      <c r="AZ29" t="s">
        <v>109</v>
      </c>
      <c r="BA29" t="s">
        <v>138</v>
      </c>
      <c r="BB29">
        <v>5</v>
      </c>
      <c r="BC29">
        <v>15</v>
      </c>
      <c r="BD29">
        <v>0.2</v>
      </c>
      <c r="BE29" t="s">
        <v>139</v>
      </c>
      <c r="BF29">
        <v>14</v>
      </c>
      <c r="BG29">
        <f>30/60</f>
        <v>0.5</v>
      </c>
      <c r="BR29" t="s">
        <v>69</v>
      </c>
      <c r="BV29">
        <v>25.848099999999999</v>
      </c>
      <c r="BW29">
        <v>0.92999229999999999</v>
      </c>
      <c r="BX29">
        <v>16</v>
      </c>
      <c r="BY29">
        <v>29.202529999999999</v>
      </c>
      <c r="BZ29">
        <v>0.59416170000000001</v>
      </c>
      <c r="CA29">
        <v>16</v>
      </c>
      <c r="CB29" t="s">
        <v>113</v>
      </c>
      <c r="CC29" t="s">
        <v>196</v>
      </c>
    </row>
    <row r="30" spans="1:81" x14ac:dyDescent="0.25">
      <c r="A30" t="s">
        <v>81</v>
      </c>
      <c r="B30">
        <v>29</v>
      </c>
      <c r="C30">
        <v>7</v>
      </c>
      <c r="D30">
        <v>7</v>
      </c>
      <c r="E30">
        <v>7</v>
      </c>
      <c r="F30">
        <v>7</v>
      </c>
      <c r="G30">
        <v>22</v>
      </c>
      <c r="H30">
        <v>21</v>
      </c>
      <c r="I30" t="s">
        <v>183</v>
      </c>
      <c r="J30" t="s">
        <v>184</v>
      </c>
      <c r="L30" t="s">
        <v>185</v>
      </c>
      <c r="M30" t="s">
        <v>85</v>
      </c>
      <c r="O30" t="s">
        <v>14</v>
      </c>
      <c r="P30" t="s">
        <v>186</v>
      </c>
      <c r="Q30" t="s">
        <v>187</v>
      </c>
      <c r="R30">
        <v>1979</v>
      </c>
      <c r="S30" t="s">
        <v>188</v>
      </c>
      <c r="V30" t="s">
        <v>189</v>
      </c>
      <c r="W30" t="s">
        <v>91</v>
      </c>
      <c r="X30" t="s">
        <v>126</v>
      </c>
      <c r="Y30" t="s">
        <v>190</v>
      </c>
      <c r="Z30" t="s">
        <v>191</v>
      </c>
      <c r="AA30" t="s">
        <v>192</v>
      </c>
      <c r="AB30" t="s">
        <v>193</v>
      </c>
      <c r="AC30" t="s">
        <v>194</v>
      </c>
      <c r="AD30" t="s">
        <v>132</v>
      </c>
      <c r="AE30" t="s">
        <v>133</v>
      </c>
      <c r="AF30" t="s">
        <v>100</v>
      </c>
      <c r="AG30" t="s">
        <v>102</v>
      </c>
      <c r="AH30" t="s">
        <v>102</v>
      </c>
      <c r="AI30" t="s">
        <v>134</v>
      </c>
      <c r="AJ30" t="s">
        <v>135</v>
      </c>
      <c r="AM30" t="s">
        <v>136</v>
      </c>
      <c r="AN30" t="s">
        <v>106</v>
      </c>
      <c r="AT30">
        <f t="shared" si="0"/>
        <v>115</v>
      </c>
      <c r="AU30">
        <f t="shared" si="1"/>
        <v>0.13461538461538461</v>
      </c>
      <c r="AW30" t="s">
        <v>108</v>
      </c>
      <c r="AZ30" t="s">
        <v>109</v>
      </c>
      <c r="BA30" t="s">
        <v>142</v>
      </c>
      <c r="BB30">
        <v>5</v>
      </c>
      <c r="BC30">
        <v>15</v>
      </c>
      <c r="BD30">
        <v>0.2</v>
      </c>
      <c r="BE30" t="s">
        <v>139</v>
      </c>
      <c r="BF30">
        <v>14</v>
      </c>
      <c r="BG30">
        <f>30/60</f>
        <v>0.5</v>
      </c>
      <c r="BR30" t="s">
        <v>69</v>
      </c>
      <c r="BV30">
        <v>28.139240000000001</v>
      </c>
      <c r="BW30">
        <v>0.51666239999999997</v>
      </c>
      <c r="BX30">
        <v>16</v>
      </c>
      <c r="BY30">
        <v>30.01266</v>
      </c>
      <c r="BZ30">
        <v>0.59416170000000001</v>
      </c>
      <c r="CA30">
        <v>16</v>
      </c>
      <c r="CB30" t="s">
        <v>113</v>
      </c>
      <c r="CC30" t="s">
        <v>196</v>
      </c>
    </row>
    <row r="31" spans="1:81" x14ac:dyDescent="0.25">
      <c r="A31" t="s">
        <v>81</v>
      </c>
      <c r="B31">
        <v>30</v>
      </c>
      <c r="C31">
        <v>7</v>
      </c>
      <c r="D31">
        <v>7</v>
      </c>
      <c r="E31">
        <v>7</v>
      </c>
      <c r="F31">
        <v>7</v>
      </c>
      <c r="G31">
        <v>23</v>
      </c>
      <c r="H31">
        <v>22</v>
      </c>
      <c r="I31" t="s">
        <v>183</v>
      </c>
      <c r="J31" t="s">
        <v>184</v>
      </c>
      <c r="L31" t="s">
        <v>185</v>
      </c>
      <c r="M31" t="s">
        <v>85</v>
      </c>
      <c r="O31" t="s">
        <v>14</v>
      </c>
      <c r="P31" t="s">
        <v>186</v>
      </c>
      <c r="Q31" t="s">
        <v>187</v>
      </c>
      <c r="R31">
        <v>1979</v>
      </c>
      <c r="S31" t="s">
        <v>188</v>
      </c>
      <c r="V31" t="s">
        <v>189</v>
      </c>
      <c r="W31" t="s">
        <v>91</v>
      </c>
      <c r="X31" t="s">
        <v>126</v>
      </c>
      <c r="Y31" t="s">
        <v>190</v>
      </c>
      <c r="Z31" t="s">
        <v>191</v>
      </c>
      <c r="AA31" t="s">
        <v>192</v>
      </c>
      <c r="AB31" t="s">
        <v>193</v>
      </c>
      <c r="AC31" t="s">
        <v>194</v>
      </c>
      <c r="AD31" t="s">
        <v>132</v>
      </c>
      <c r="AE31" t="s">
        <v>133</v>
      </c>
      <c r="AF31" t="s">
        <v>100</v>
      </c>
      <c r="AG31" t="s">
        <v>102</v>
      </c>
      <c r="AH31" t="s">
        <v>102</v>
      </c>
      <c r="AI31" t="s">
        <v>134</v>
      </c>
      <c r="AJ31" t="s">
        <v>135</v>
      </c>
      <c r="AM31" t="s">
        <v>136</v>
      </c>
      <c r="AN31" t="s">
        <v>106</v>
      </c>
      <c r="AT31">
        <f t="shared" si="0"/>
        <v>115</v>
      </c>
      <c r="AU31">
        <f t="shared" si="1"/>
        <v>0.13461538461538461</v>
      </c>
      <c r="AW31" t="s">
        <v>108</v>
      </c>
      <c r="AZ31" t="s">
        <v>109</v>
      </c>
      <c r="BA31" t="s">
        <v>138</v>
      </c>
      <c r="BB31">
        <v>5</v>
      </c>
      <c r="BC31">
        <v>15</v>
      </c>
      <c r="BD31">
        <v>0.2</v>
      </c>
      <c r="BE31" t="s">
        <v>139</v>
      </c>
      <c r="BF31">
        <v>14</v>
      </c>
      <c r="BG31">
        <f>60/60</f>
        <v>1</v>
      </c>
      <c r="BR31" t="s">
        <v>69</v>
      </c>
      <c r="BV31">
        <v>25.822780000000002</v>
      </c>
      <c r="BW31">
        <v>0.56832859999999996</v>
      </c>
      <c r="BX31">
        <v>16</v>
      </c>
      <c r="BY31">
        <v>29.632909999999999</v>
      </c>
      <c r="BZ31">
        <v>0.54249550000000002</v>
      </c>
      <c r="CA31">
        <v>16</v>
      </c>
      <c r="CB31" t="s">
        <v>113</v>
      </c>
      <c r="CC31" t="s">
        <v>196</v>
      </c>
    </row>
    <row r="32" spans="1:81" x14ac:dyDescent="0.25">
      <c r="A32" t="s">
        <v>81</v>
      </c>
      <c r="B32">
        <v>31</v>
      </c>
      <c r="C32">
        <v>7</v>
      </c>
      <c r="D32">
        <v>7</v>
      </c>
      <c r="E32">
        <v>7</v>
      </c>
      <c r="F32">
        <v>7</v>
      </c>
      <c r="G32">
        <v>24</v>
      </c>
      <c r="H32">
        <v>22</v>
      </c>
      <c r="I32" t="s">
        <v>183</v>
      </c>
      <c r="J32" t="s">
        <v>184</v>
      </c>
      <c r="L32" t="s">
        <v>185</v>
      </c>
      <c r="M32" t="s">
        <v>85</v>
      </c>
      <c r="O32" t="s">
        <v>14</v>
      </c>
      <c r="P32" t="s">
        <v>186</v>
      </c>
      <c r="Q32" t="s">
        <v>187</v>
      </c>
      <c r="R32">
        <v>1979</v>
      </c>
      <c r="S32" t="s">
        <v>188</v>
      </c>
      <c r="V32" t="s">
        <v>189</v>
      </c>
      <c r="W32" t="s">
        <v>91</v>
      </c>
      <c r="X32" t="s">
        <v>126</v>
      </c>
      <c r="Y32" t="s">
        <v>190</v>
      </c>
      <c r="Z32" t="s">
        <v>191</v>
      </c>
      <c r="AA32" t="s">
        <v>192</v>
      </c>
      <c r="AB32" t="s">
        <v>193</v>
      </c>
      <c r="AC32" t="s">
        <v>194</v>
      </c>
      <c r="AD32" t="s">
        <v>132</v>
      </c>
      <c r="AE32" t="s">
        <v>133</v>
      </c>
      <c r="AF32" t="s">
        <v>100</v>
      </c>
      <c r="AG32" t="s">
        <v>102</v>
      </c>
      <c r="AH32" t="s">
        <v>102</v>
      </c>
      <c r="AI32" t="s">
        <v>134</v>
      </c>
      <c r="AJ32" t="s">
        <v>135</v>
      </c>
      <c r="AM32" t="s">
        <v>136</v>
      </c>
      <c r="AN32" t="s">
        <v>106</v>
      </c>
      <c r="AT32">
        <f t="shared" si="0"/>
        <v>115</v>
      </c>
      <c r="AU32">
        <f t="shared" si="1"/>
        <v>0.13461538461538461</v>
      </c>
      <c r="AW32" t="s">
        <v>108</v>
      </c>
      <c r="AZ32" t="s">
        <v>109</v>
      </c>
      <c r="BA32" t="s">
        <v>142</v>
      </c>
      <c r="BB32">
        <v>5</v>
      </c>
      <c r="BC32">
        <v>15</v>
      </c>
      <c r="BD32">
        <v>0.2</v>
      </c>
      <c r="BE32" t="s">
        <v>139</v>
      </c>
      <c r="BF32">
        <v>14</v>
      </c>
      <c r="BG32">
        <f>60/60</f>
        <v>1</v>
      </c>
      <c r="BR32" t="s">
        <v>69</v>
      </c>
      <c r="BV32">
        <v>29.139240000000001</v>
      </c>
      <c r="BW32">
        <v>0.51666239999999997</v>
      </c>
      <c r="BX32">
        <v>16</v>
      </c>
      <c r="BY32">
        <v>31.151900000000001</v>
      </c>
      <c r="BZ32">
        <v>0.43916300000000003</v>
      </c>
      <c r="CA32">
        <v>16</v>
      </c>
      <c r="CB32" t="s">
        <v>113</v>
      </c>
      <c r="CC32" t="s">
        <v>196</v>
      </c>
    </row>
    <row r="33" spans="1:81" x14ac:dyDescent="0.25">
      <c r="A33" t="s">
        <v>81</v>
      </c>
      <c r="B33">
        <v>32</v>
      </c>
      <c r="C33">
        <v>8</v>
      </c>
      <c r="D33">
        <v>8</v>
      </c>
      <c r="E33">
        <v>8</v>
      </c>
      <c r="F33">
        <v>8</v>
      </c>
      <c r="G33">
        <v>25</v>
      </c>
      <c r="H33">
        <v>23</v>
      </c>
      <c r="I33" t="s">
        <v>118</v>
      </c>
      <c r="J33" t="s">
        <v>197</v>
      </c>
      <c r="M33" t="s">
        <v>85</v>
      </c>
      <c r="O33" t="s">
        <v>14</v>
      </c>
      <c r="P33" t="s">
        <v>198</v>
      </c>
      <c r="Q33" t="s">
        <v>199</v>
      </c>
      <c r="R33">
        <v>2008</v>
      </c>
      <c r="S33" t="s">
        <v>200</v>
      </c>
      <c r="U33" t="s">
        <v>201</v>
      </c>
      <c r="V33" t="s">
        <v>202</v>
      </c>
      <c r="W33" t="s">
        <v>91</v>
      </c>
      <c r="X33" t="s">
        <v>126</v>
      </c>
      <c r="Y33" t="s">
        <v>127</v>
      </c>
      <c r="Z33" t="s">
        <v>128</v>
      </c>
      <c r="AA33" t="s">
        <v>203</v>
      </c>
      <c r="AB33" t="s">
        <v>204</v>
      </c>
      <c r="AC33" t="s">
        <v>205</v>
      </c>
      <c r="AD33" t="s">
        <v>132</v>
      </c>
      <c r="AE33" t="s">
        <v>133</v>
      </c>
      <c r="AF33" t="s">
        <v>100</v>
      </c>
      <c r="AG33" t="s">
        <v>102</v>
      </c>
      <c r="AH33" t="s">
        <v>102</v>
      </c>
      <c r="AI33" t="s">
        <v>134</v>
      </c>
      <c r="AJ33" t="s">
        <v>135</v>
      </c>
      <c r="AM33" t="s">
        <v>136</v>
      </c>
      <c r="AN33" t="s">
        <v>137</v>
      </c>
      <c r="AU33">
        <v>0.35</v>
      </c>
      <c r="AW33" t="s">
        <v>108</v>
      </c>
      <c r="AZ33" t="s">
        <v>109</v>
      </c>
      <c r="BA33" t="s">
        <v>138</v>
      </c>
      <c r="BB33">
        <v>15</v>
      </c>
      <c r="BC33">
        <v>18</v>
      </c>
      <c r="BD33">
        <f>(0.6+1)/2</f>
        <v>0.8</v>
      </c>
      <c r="BE33" t="s">
        <v>111</v>
      </c>
      <c r="BF33">
        <v>50</v>
      </c>
      <c r="BG33">
        <v>0.2</v>
      </c>
      <c r="BM33">
        <f>(7.4+10+7.2+10)/4</f>
        <v>8.6499999999999986</v>
      </c>
      <c r="BO33">
        <f>(8.2+8.5+8.1+8.4)/4</f>
        <v>8.2999999999999989</v>
      </c>
      <c r="BU33" t="s">
        <v>206</v>
      </c>
      <c r="BV33">
        <v>29.5</v>
      </c>
      <c r="BW33">
        <v>0.4</v>
      </c>
      <c r="BX33">
        <v>5</v>
      </c>
      <c r="BY33">
        <v>32</v>
      </c>
      <c r="BZ33">
        <v>0.5</v>
      </c>
      <c r="CA33">
        <v>5</v>
      </c>
      <c r="CB33" t="s">
        <v>113</v>
      </c>
      <c r="CC33" t="s">
        <v>207</v>
      </c>
    </row>
    <row r="34" spans="1:81" x14ac:dyDescent="0.25">
      <c r="A34" t="s">
        <v>81</v>
      </c>
      <c r="B34">
        <v>33</v>
      </c>
      <c r="C34">
        <v>8</v>
      </c>
      <c r="D34">
        <v>8</v>
      </c>
      <c r="E34">
        <v>8</v>
      </c>
      <c r="F34">
        <v>8</v>
      </c>
      <c r="G34">
        <v>25</v>
      </c>
      <c r="H34">
        <v>24</v>
      </c>
      <c r="I34" t="s">
        <v>118</v>
      </c>
      <c r="J34" t="s">
        <v>197</v>
      </c>
      <c r="M34" t="s">
        <v>85</v>
      </c>
      <c r="O34" t="s">
        <v>14</v>
      </c>
      <c r="P34" t="s">
        <v>198</v>
      </c>
      <c r="Q34" t="s">
        <v>199</v>
      </c>
      <c r="R34">
        <v>2008</v>
      </c>
      <c r="S34" t="s">
        <v>200</v>
      </c>
      <c r="U34" t="s">
        <v>201</v>
      </c>
      <c r="V34" t="s">
        <v>202</v>
      </c>
      <c r="W34" t="s">
        <v>91</v>
      </c>
      <c r="X34" t="s">
        <v>126</v>
      </c>
      <c r="Y34" t="s">
        <v>127</v>
      </c>
      <c r="Z34" t="s">
        <v>128</v>
      </c>
      <c r="AA34" t="s">
        <v>203</v>
      </c>
      <c r="AB34" t="s">
        <v>204</v>
      </c>
      <c r="AC34" t="s">
        <v>205</v>
      </c>
      <c r="AD34" t="s">
        <v>132</v>
      </c>
      <c r="AE34" t="s">
        <v>133</v>
      </c>
      <c r="AF34" t="s">
        <v>100</v>
      </c>
      <c r="AG34" t="s">
        <v>102</v>
      </c>
      <c r="AH34" t="s">
        <v>102</v>
      </c>
      <c r="AI34" t="s">
        <v>134</v>
      </c>
      <c r="AJ34" t="s">
        <v>135</v>
      </c>
      <c r="AM34" t="s">
        <v>136</v>
      </c>
      <c r="AN34" t="s">
        <v>137</v>
      </c>
      <c r="AU34">
        <v>0.35</v>
      </c>
      <c r="AW34" t="s">
        <v>108</v>
      </c>
      <c r="AZ34" t="s">
        <v>109</v>
      </c>
      <c r="BA34" t="s">
        <v>138</v>
      </c>
      <c r="BB34">
        <v>18</v>
      </c>
      <c r="BC34">
        <v>23</v>
      </c>
      <c r="BD34">
        <f>(1+1.1)/2</f>
        <v>1.05</v>
      </c>
      <c r="BE34" t="s">
        <v>111</v>
      </c>
      <c r="BF34">
        <v>50</v>
      </c>
      <c r="BG34">
        <v>0.2</v>
      </c>
      <c r="BM34">
        <f>(7.2+10+6.7+8.5)/4</f>
        <v>8.1</v>
      </c>
      <c r="BO34">
        <f>(8.1+8.4+8.1+8.3)/4</f>
        <v>8.2250000000000014</v>
      </c>
      <c r="BU34" t="s">
        <v>208</v>
      </c>
      <c r="BV34">
        <v>32</v>
      </c>
      <c r="BW34">
        <v>0.5</v>
      </c>
      <c r="BX34">
        <v>5</v>
      </c>
      <c r="BY34">
        <v>34.6</v>
      </c>
      <c r="BZ34">
        <v>0.4</v>
      </c>
      <c r="CA34">
        <v>5</v>
      </c>
      <c r="CB34" t="s">
        <v>113</v>
      </c>
      <c r="CC34" t="s">
        <v>207</v>
      </c>
    </row>
    <row r="35" spans="1:81" x14ac:dyDescent="0.25">
      <c r="A35" t="s">
        <v>81</v>
      </c>
      <c r="B35">
        <v>34</v>
      </c>
      <c r="C35">
        <v>8</v>
      </c>
      <c r="D35">
        <v>8</v>
      </c>
      <c r="E35">
        <v>8</v>
      </c>
      <c r="F35">
        <v>8</v>
      </c>
      <c r="G35">
        <v>25</v>
      </c>
      <c r="H35">
        <v>25</v>
      </c>
      <c r="I35" t="s">
        <v>118</v>
      </c>
      <c r="J35" t="s">
        <v>197</v>
      </c>
      <c r="M35" t="s">
        <v>85</v>
      </c>
      <c r="O35" t="s">
        <v>14</v>
      </c>
      <c r="P35" t="s">
        <v>198</v>
      </c>
      <c r="Q35" t="s">
        <v>199</v>
      </c>
      <c r="R35">
        <v>2008</v>
      </c>
      <c r="S35" t="s">
        <v>200</v>
      </c>
      <c r="U35" t="s">
        <v>201</v>
      </c>
      <c r="V35" t="s">
        <v>202</v>
      </c>
      <c r="W35" t="s">
        <v>91</v>
      </c>
      <c r="X35" t="s">
        <v>126</v>
      </c>
      <c r="Y35" t="s">
        <v>127</v>
      </c>
      <c r="Z35" t="s">
        <v>128</v>
      </c>
      <c r="AA35" t="s">
        <v>203</v>
      </c>
      <c r="AB35" t="s">
        <v>204</v>
      </c>
      <c r="AC35" t="s">
        <v>205</v>
      </c>
      <c r="AD35" t="s">
        <v>132</v>
      </c>
      <c r="AE35" t="s">
        <v>133</v>
      </c>
      <c r="AF35" t="s">
        <v>100</v>
      </c>
      <c r="AG35" t="s">
        <v>102</v>
      </c>
      <c r="AH35" t="s">
        <v>102</v>
      </c>
      <c r="AI35" t="s">
        <v>134</v>
      </c>
      <c r="AJ35" t="s">
        <v>135</v>
      </c>
      <c r="AM35" t="s">
        <v>136</v>
      </c>
      <c r="AN35" t="s">
        <v>137</v>
      </c>
      <c r="AU35">
        <v>0.35</v>
      </c>
      <c r="AW35" t="s">
        <v>108</v>
      </c>
      <c r="AZ35" t="s">
        <v>109</v>
      </c>
      <c r="BA35" t="s">
        <v>138</v>
      </c>
      <c r="BB35">
        <v>23</v>
      </c>
      <c r="BC35">
        <v>28</v>
      </c>
      <c r="BD35">
        <f>(1.1+1.5)/2</f>
        <v>1.3</v>
      </c>
      <c r="BE35" t="s">
        <v>111</v>
      </c>
      <c r="BF35">
        <v>50</v>
      </c>
      <c r="BG35">
        <v>0.2</v>
      </c>
      <c r="BM35">
        <f>(6.7+8.5+7.2+8.2)/4</f>
        <v>7.6499999999999995</v>
      </c>
      <c r="BO35">
        <f>(8.1+8.3+7.9+8.3)/4</f>
        <v>8.1499999999999986</v>
      </c>
      <c r="BU35" t="s">
        <v>206</v>
      </c>
      <c r="BV35">
        <v>34.6</v>
      </c>
      <c r="BW35">
        <v>0.4</v>
      </c>
      <c r="BX35">
        <v>5</v>
      </c>
      <c r="BY35">
        <v>35.1</v>
      </c>
      <c r="BZ35">
        <v>0.8</v>
      </c>
      <c r="CA35">
        <v>5</v>
      </c>
      <c r="CB35" t="s">
        <v>113</v>
      </c>
      <c r="CC35" t="s">
        <v>207</v>
      </c>
    </row>
    <row r="36" spans="1:81" x14ac:dyDescent="0.25">
      <c r="A36" t="s">
        <v>81</v>
      </c>
      <c r="B36">
        <v>35</v>
      </c>
      <c r="C36">
        <v>8</v>
      </c>
      <c r="D36">
        <v>8</v>
      </c>
      <c r="E36">
        <v>9</v>
      </c>
      <c r="F36">
        <v>9</v>
      </c>
      <c r="G36">
        <v>26</v>
      </c>
      <c r="H36">
        <v>26</v>
      </c>
      <c r="I36" t="s">
        <v>118</v>
      </c>
      <c r="J36" t="s">
        <v>197</v>
      </c>
      <c r="M36" t="s">
        <v>85</v>
      </c>
      <c r="O36" t="s">
        <v>14</v>
      </c>
      <c r="P36" t="s">
        <v>198</v>
      </c>
      <c r="Q36" t="s">
        <v>199</v>
      </c>
      <c r="R36">
        <v>2008</v>
      </c>
      <c r="S36" t="s">
        <v>200</v>
      </c>
      <c r="U36" t="s">
        <v>201</v>
      </c>
      <c r="V36" t="s">
        <v>202</v>
      </c>
      <c r="W36" t="s">
        <v>91</v>
      </c>
      <c r="X36" t="s">
        <v>126</v>
      </c>
      <c r="Y36" t="s">
        <v>127</v>
      </c>
      <c r="Z36" t="s">
        <v>128</v>
      </c>
      <c r="AA36" t="s">
        <v>203</v>
      </c>
      <c r="AB36" t="s">
        <v>204</v>
      </c>
      <c r="AC36" t="s">
        <v>205</v>
      </c>
      <c r="AD36" t="s">
        <v>132</v>
      </c>
      <c r="AE36" t="s">
        <v>133</v>
      </c>
      <c r="AF36" t="s">
        <v>100</v>
      </c>
      <c r="AG36" t="s">
        <v>102</v>
      </c>
      <c r="AH36" t="s">
        <v>102</v>
      </c>
      <c r="AI36" t="s">
        <v>134</v>
      </c>
      <c r="AJ36" t="s">
        <v>135</v>
      </c>
      <c r="AM36" t="s">
        <v>136</v>
      </c>
      <c r="AN36" t="s">
        <v>137</v>
      </c>
      <c r="AU36">
        <v>0.27</v>
      </c>
      <c r="AW36" t="s">
        <v>108</v>
      </c>
      <c r="AZ36" t="s">
        <v>109</v>
      </c>
      <c r="BA36" t="s">
        <v>138</v>
      </c>
      <c r="BB36">
        <v>15</v>
      </c>
      <c r="BC36">
        <v>18</v>
      </c>
      <c r="BD36">
        <f>(0.6+1)/2</f>
        <v>0.8</v>
      </c>
      <c r="BE36" t="s">
        <v>111</v>
      </c>
      <c r="BF36">
        <v>50</v>
      </c>
      <c r="BG36">
        <v>0.2</v>
      </c>
      <c r="BM36">
        <f>(7.4+10+7.2+10)/4</f>
        <v>8.6499999999999986</v>
      </c>
      <c r="BO36">
        <f>(8.2+8.5+8.1+8.4)/4</f>
        <v>8.2999999999999989</v>
      </c>
      <c r="BU36" t="s">
        <v>209</v>
      </c>
      <c r="BV36">
        <v>29.7</v>
      </c>
      <c r="BW36">
        <v>0.4</v>
      </c>
      <c r="BX36">
        <v>5</v>
      </c>
      <c r="BY36">
        <v>31.7</v>
      </c>
      <c r="BZ36">
        <v>0.2</v>
      </c>
      <c r="CA36">
        <v>5</v>
      </c>
      <c r="CB36" t="s">
        <v>113</v>
      </c>
      <c r="CC36" t="s">
        <v>207</v>
      </c>
    </row>
    <row r="37" spans="1:81" x14ac:dyDescent="0.25">
      <c r="A37" t="s">
        <v>81</v>
      </c>
      <c r="B37">
        <v>36</v>
      </c>
      <c r="C37">
        <v>8</v>
      </c>
      <c r="D37">
        <v>8</v>
      </c>
      <c r="E37">
        <v>9</v>
      </c>
      <c r="F37">
        <v>9</v>
      </c>
      <c r="G37">
        <v>26</v>
      </c>
      <c r="H37">
        <v>27</v>
      </c>
      <c r="I37" t="s">
        <v>118</v>
      </c>
      <c r="J37" t="s">
        <v>197</v>
      </c>
      <c r="M37" t="s">
        <v>85</v>
      </c>
      <c r="O37" t="s">
        <v>14</v>
      </c>
      <c r="P37" t="s">
        <v>198</v>
      </c>
      <c r="Q37" t="s">
        <v>199</v>
      </c>
      <c r="R37">
        <v>2008</v>
      </c>
      <c r="S37" t="s">
        <v>200</v>
      </c>
      <c r="U37" t="s">
        <v>201</v>
      </c>
      <c r="V37" t="s">
        <v>202</v>
      </c>
      <c r="W37" t="s">
        <v>91</v>
      </c>
      <c r="X37" t="s">
        <v>126</v>
      </c>
      <c r="Y37" t="s">
        <v>127</v>
      </c>
      <c r="Z37" t="s">
        <v>128</v>
      </c>
      <c r="AA37" t="s">
        <v>203</v>
      </c>
      <c r="AB37" t="s">
        <v>204</v>
      </c>
      <c r="AC37" t="s">
        <v>205</v>
      </c>
      <c r="AD37" t="s">
        <v>132</v>
      </c>
      <c r="AE37" t="s">
        <v>133</v>
      </c>
      <c r="AF37" t="s">
        <v>100</v>
      </c>
      <c r="AG37" t="s">
        <v>102</v>
      </c>
      <c r="AH37" t="s">
        <v>102</v>
      </c>
      <c r="AI37" t="s">
        <v>134</v>
      </c>
      <c r="AJ37" t="s">
        <v>135</v>
      </c>
      <c r="AM37" t="s">
        <v>136</v>
      </c>
      <c r="AN37" t="s">
        <v>137</v>
      </c>
      <c r="AU37">
        <v>0.27</v>
      </c>
      <c r="AW37" t="s">
        <v>108</v>
      </c>
      <c r="AZ37" t="s">
        <v>109</v>
      </c>
      <c r="BA37" t="s">
        <v>138</v>
      </c>
      <c r="BB37">
        <v>18</v>
      </c>
      <c r="BC37">
        <v>23</v>
      </c>
      <c r="BD37">
        <f>(1+1.1)/2</f>
        <v>1.05</v>
      </c>
      <c r="BE37" t="s">
        <v>111</v>
      </c>
      <c r="BF37">
        <v>50</v>
      </c>
      <c r="BG37">
        <v>0.2</v>
      </c>
      <c r="BM37">
        <f>(7.2+10+6.7+8.5)/4</f>
        <v>8.1</v>
      </c>
      <c r="BO37">
        <f>(8.1+8.4+8.1+8.3)/4</f>
        <v>8.2250000000000014</v>
      </c>
      <c r="BU37" t="s">
        <v>209</v>
      </c>
      <c r="BV37">
        <v>31.7</v>
      </c>
      <c r="BW37">
        <v>0.2</v>
      </c>
      <c r="BX37">
        <v>5</v>
      </c>
      <c r="BY37">
        <v>34.6</v>
      </c>
      <c r="BZ37">
        <v>0.4</v>
      </c>
      <c r="CA37">
        <v>5</v>
      </c>
      <c r="CB37" t="s">
        <v>113</v>
      </c>
      <c r="CC37" t="s">
        <v>207</v>
      </c>
    </row>
    <row r="38" spans="1:81" x14ac:dyDescent="0.25">
      <c r="A38" t="s">
        <v>81</v>
      </c>
      <c r="B38">
        <v>37</v>
      </c>
      <c r="C38">
        <v>8</v>
      </c>
      <c r="D38">
        <v>8</v>
      </c>
      <c r="E38">
        <v>9</v>
      </c>
      <c r="F38">
        <v>9</v>
      </c>
      <c r="G38">
        <v>26</v>
      </c>
      <c r="H38">
        <v>28</v>
      </c>
      <c r="I38" t="s">
        <v>118</v>
      </c>
      <c r="J38" t="s">
        <v>197</v>
      </c>
      <c r="M38" t="s">
        <v>85</v>
      </c>
      <c r="O38" t="s">
        <v>14</v>
      </c>
      <c r="P38" t="s">
        <v>198</v>
      </c>
      <c r="Q38" t="s">
        <v>199</v>
      </c>
      <c r="R38">
        <v>2008</v>
      </c>
      <c r="S38" t="s">
        <v>200</v>
      </c>
      <c r="U38" t="s">
        <v>201</v>
      </c>
      <c r="V38" t="s">
        <v>202</v>
      </c>
      <c r="W38" t="s">
        <v>91</v>
      </c>
      <c r="X38" t="s">
        <v>126</v>
      </c>
      <c r="Y38" t="s">
        <v>127</v>
      </c>
      <c r="Z38" t="s">
        <v>128</v>
      </c>
      <c r="AA38" t="s">
        <v>203</v>
      </c>
      <c r="AB38" t="s">
        <v>204</v>
      </c>
      <c r="AC38" t="s">
        <v>205</v>
      </c>
      <c r="AD38" t="s">
        <v>132</v>
      </c>
      <c r="AE38" t="s">
        <v>133</v>
      </c>
      <c r="AF38" t="s">
        <v>100</v>
      </c>
      <c r="AG38" t="s">
        <v>102</v>
      </c>
      <c r="AH38" t="s">
        <v>102</v>
      </c>
      <c r="AI38" t="s">
        <v>134</v>
      </c>
      <c r="AJ38" t="s">
        <v>135</v>
      </c>
      <c r="AM38" t="s">
        <v>136</v>
      </c>
      <c r="AN38" t="s">
        <v>137</v>
      </c>
      <c r="AU38">
        <v>0.27</v>
      </c>
      <c r="AW38" t="s">
        <v>108</v>
      </c>
      <c r="AZ38" t="s">
        <v>109</v>
      </c>
      <c r="BA38" t="s">
        <v>138</v>
      </c>
      <c r="BB38">
        <v>23</v>
      </c>
      <c r="BC38">
        <v>28</v>
      </c>
      <c r="BD38">
        <f>(1.1+1.5)/2</f>
        <v>1.3</v>
      </c>
      <c r="BE38" t="s">
        <v>111</v>
      </c>
      <c r="BF38">
        <v>50</v>
      </c>
      <c r="BG38">
        <v>0.2</v>
      </c>
      <c r="BM38">
        <f>(6.7+8.5+7.2+8.2)/4</f>
        <v>7.6499999999999995</v>
      </c>
      <c r="BO38">
        <f>(8.1+8.3+7.9+8.3)/4</f>
        <v>8.1499999999999986</v>
      </c>
      <c r="BU38" t="s">
        <v>209</v>
      </c>
      <c r="BV38">
        <v>34.6</v>
      </c>
      <c r="BW38">
        <v>0.4</v>
      </c>
      <c r="BX38">
        <v>5</v>
      </c>
      <c r="BY38">
        <v>34.9</v>
      </c>
      <c r="BZ38">
        <v>0.6</v>
      </c>
      <c r="CA38">
        <v>5</v>
      </c>
      <c r="CB38" t="s">
        <v>113</v>
      </c>
      <c r="CC38" t="s">
        <v>207</v>
      </c>
    </row>
    <row r="39" spans="1:81" x14ac:dyDescent="0.25">
      <c r="A39" t="s">
        <v>81</v>
      </c>
      <c r="B39">
        <v>38</v>
      </c>
      <c r="C39">
        <v>8</v>
      </c>
      <c r="D39">
        <v>8</v>
      </c>
      <c r="E39">
        <v>8</v>
      </c>
      <c r="F39">
        <v>8</v>
      </c>
      <c r="G39">
        <v>27</v>
      </c>
      <c r="H39">
        <v>29</v>
      </c>
      <c r="I39" t="s">
        <v>210</v>
      </c>
      <c r="J39" t="s">
        <v>211</v>
      </c>
      <c r="M39" t="s">
        <v>85</v>
      </c>
      <c r="O39" t="s">
        <v>14</v>
      </c>
      <c r="P39" t="s">
        <v>198</v>
      </c>
      <c r="Q39" t="s">
        <v>199</v>
      </c>
      <c r="R39">
        <v>2008</v>
      </c>
      <c r="S39" t="s">
        <v>200</v>
      </c>
      <c r="U39" t="s">
        <v>201</v>
      </c>
      <c r="V39" t="s">
        <v>202</v>
      </c>
      <c r="W39" t="s">
        <v>91</v>
      </c>
      <c r="X39" t="s">
        <v>126</v>
      </c>
      <c r="Y39" t="s">
        <v>127</v>
      </c>
      <c r="Z39" t="s">
        <v>128</v>
      </c>
      <c r="AA39" t="s">
        <v>203</v>
      </c>
      <c r="AB39" t="s">
        <v>204</v>
      </c>
      <c r="AC39" t="s">
        <v>205</v>
      </c>
      <c r="AD39" t="s">
        <v>132</v>
      </c>
      <c r="AE39" t="s">
        <v>133</v>
      </c>
      <c r="AF39" t="s">
        <v>100</v>
      </c>
      <c r="AG39" t="s">
        <v>102</v>
      </c>
      <c r="AH39" t="s">
        <v>102</v>
      </c>
      <c r="AI39" t="s">
        <v>134</v>
      </c>
      <c r="AJ39" t="s">
        <v>135</v>
      </c>
      <c r="AM39" t="s">
        <v>136</v>
      </c>
      <c r="AN39" t="s">
        <v>137</v>
      </c>
      <c r="AU39">
        <f>(0.35+0.27)/2</f>
        <v>0.31</v>
      </c>
      <c r="AW39" t="s">
        <v>108</v>
      </c>
      <c r="AZ39" t="s">
        <v>212</v>
      </c>
      <c r="BA39" t="s">
        <v>142</v>
      </c>
      <c r="BB39">
        <v>15</v>
      </c>
      <c r="BC39">
        <v>18</v>
      </c>
      <c r="BD39">
        <f>(0.6+1)/2</f>
        <v>0.8</v>
      </c>
      <c r="BE39" t="s">
        <v>111</v>
      </c>
      <c r="BF39">
        <v>57</v>
      </c>
      <c r="BH39">
        <v>96</v>
      </c>
      <c r="BI39">
        <v>5</v>
      </c>
      <c r="BJ39">
        <v>3</v>
      </c>
      <c r="BK39">
        <v>10</v>
      </c>
      <c r="BM39">
        <f>(7.4+10+7.2+10)/4</f>
        <v>8.6499999999999986</v>
      </c>
      <c r="BO39">
        <f>(8.2+8.5+8.1+8.4)/4</f>
        <v>8.2999999999999989</v>
      </c>
      <c r="BR39" t="s">
        <v>69</v>
      </c>
      <c r="BS39" t="s">
        <v>213</v>
      </c>
      <c r="BU39" t="s">
        <v>214</v>
      </c>
      <c r="BV39">
        <v>26.56475</v>
      </c>
      <c r="BW39">
        <v>0.1077211</v>
      </c>
      <c r="BX39">
        <v>15</v>
      </c>
      <c r="BY39">
        <v>28.52543</v>
      </c>
      <c r="BZ39">
        <v>0.2472318</v>
      </c>
      <c r="CA39">
        <v>15</v>
      </c>
      <c r="CB39" t="s">
        <v>215</v>
      </c>
      <c r="CC39" t="s">
        <v>216</v>
      </c>
    </row>
    <row r="40" spans="1:81" x14ac:dyDescent="0.25">
      <c r="A40" t="s">
        <v>81</v>
      </c>
      <c r="B40">
        <v>39</v>
      </c>
      <c r="C40">
        <v>8</v>
      </c>
      <c r="D40">
        <v>8</v>
      </c>
      <c r="E40">
        <v>8</v>
      </c>
      <c r="F40">
        <v>8</v>
      </c>
      <c r="G40">
        <v>27</v>
      </c>
      <c r="H40">
        <v>30</v>
      </c>
      <c r="I40" t="s">
        <v>210</v>
      </c>
      <c r="J40" t="s">
        <v>211</v>
      </c>
      <c r="M40" t="s">
        <v>85</v>
      </c>
      <c r="O40" t="s">
        <v>14</v>
      </c>
      <c r="P40" t="s">
        <v>198</v>
      </c>
      <c r="Q40" t="s">
        <v>199</v>
      </c>
      <c r="R40">
        <v>2008</v>
      </c>
      <c r="S40" t="s">
        <v>200</v>
      </c>
      <c r="U40" t="s">
        <v>201</v>
      </c>
      <c r="V40" t="s">
        <v>202</v>
      </c>
      <c r="W40" t="s">
        <v>91</v>
      </c>
      <c r="X40" t="s">
        <v>126</v>
      </c>
      <c r="Y40" t="s">
        <v>127</v>
      </c>
      <c r="Z40" t="s">
        <v>128</v>
      </c>
      <c r="AA40" t="s">
        <v>203</v>
      </c>
      <c r="AB40" t="s">
        <v>204</v>
      </c>
      <c r="AC40" t="s">
        <v>205</v>
      </c>
      <c r="AD40" t="s">
        <v>132</v>
      </c>
      <c r="AE40" t="s">
        <v>133</v>
      </c>
      <c r="AF40" t="s">
        <v>100</v>
      </c>
      <c r="AG40" t="s">
        <v>102</v>
      </c>
      <c r="AH40" t="s">
        <v>102</v>
      </c>
      <c r="AI40" t="s">
        <v>134</v>
      </c>
      <c r="AJ40" t="s">
        <v>135</v>
      </c>
      <c r="AM40" t="s">
        <v>136</v>
      </c>
      <c r="AN40" t="s">
        <v>137</v>
      </c>
      <c r="AU40">
        <f>(0.35+0.27)/2</f>
        <v>0.31</v>
      </c>
      <c r="AW40" t="s">
        <v>108</v>
      </c>
      <c r="AZ40" t="s">
        <v>212</v>
      </c>
      <c r="BA40" t="s">
        <v>142</v>
      </c>
      <c r="BB40">
        <v>18</v>
      </c>
      <c r="BC40">
        <v>23</v>
      </c>
      <c r="BD40">
        <f>(1+1.1)/2</f>
        <v>1.05</v>
      </c>
      <c r="BE40" t="s">
        <v>111</v>
      </c>
      <c r="BF40">
        <v>57</v>
      </c>
      <c r="BH40">
        <v>96</v>
      </c>
      <c r="BI40">
        <v>5</v>
      </c>
      <c r="BJ40">
        <v>3</v>
      </c>
      <c r="BK40">
        <v>10</v>
      </c>
      <c r="BM40">
        <f>(7.2+10+6.7+8.5)/4</f>
        <v>8.1</v>
      </c>
      <c r="BO40">
        <f>(8.1+8.4+8.1+8.3)/4</f>
        <v>8.2250000000000014</v>
      </c>
      <c r="BR40" t="s">
        <v>69</v>
      </c>
      <c r="BS40" t="s">
        <v>213</v>
      </c>
      <c r="BU40" t="s">
        <v>214</v>
      </c>
      <c r="BV40">
        <v>28.52543</v>
      </c>
      <c r="BW40">
        <v>0.2472318</v>
      </c>
      <c r="BX40">
        <v>15</v>
      </c>
      <c r="BY40">
        <v>30.104410000000001</v>
      </c>
      <c r="BZ40">
        <v>0.21662619999999999</v>
      </c>
      <c r="CA40">
        <v>15</v>
      </c>
      <c r="CB40" t="s">
        <v>215</v>
      </c>
      <c r="CC40" t="s">
        <v>216</v>
      </c>
    </row>
    <row r="41" spans="1:81" x14ac:dyDescent="0.25">
      <c r="A41" t="s">
        <v>81</v>
      </c>
      <c r="B41">
        <v>40</v>
      </c>
      <c r="C41">
        <v>8</v>
      </c>
      <c r="D41">
        <v>8</v>
      </c>
      <c r="E41">
        <v>8</v>
      </c>
      <c r="F41">
        <v>8</v>
      </c>
      <c r="G41">
        <v>27</v>
      </c>
      <c r="H41">
        <v>31</v>
      </c>
      <c r="I41" t="s">
        <v>210</v>
      </c>
      <c r="J41" t="s">
        <v>211</v>
      </c>
      <c r="M41" t="s">
        <v>85</v>
      </c>
      <c r="O41" t="s">
        <v>14</v>
      </c>
      <c r="P41" t="s">
        <v>198</v>
      </c>
      <c r="Q41" t="s">
        <v>199</v>
      </c>
      <c r="R41">
        <v>2008</v>
      </c>
      <c r="S41" t="s">
        <v>200</v>
      </c>
      <c r="U41" t="s">
        <v>201</v>
      </c>
      <c r="V41" t="s">
        <v>202</v>
      </c>
      <c r="W41" t="s">
        <v>91</v>
      </c>
      <c r="X41" t="s">
        <v>126</v>
      </c>
      <c r="Y41" t="s">
        <v>127</v>
      </c>
      <c r="Z41" t="s">
        <v>128</v>
      </c>
      <c r="AA41" t="s">
        <v>203</v>
      </c>
      <c r="AB41" t="s">
        <v>204</v>
      </c>
      <c r="AC41" t="s">
        <v>205</v>
      </c>
      <c r="AD41" t="s">
        <v>132</v>
      </c>
      <c r="AE41" t="s">
        <v>133</v>
      </c>
      <c r="AF41" t="s">
        <v>100</v>
      </c>
      <c r="AG41" t="s">
        <v>102</v>
      </c>
      <c r="AH41" t="s">
        <v>102</v>
      </c>
      <c r="AI41" t="s">
        <v>134</v>
      </c>
      <c r="AJ41" t="s">
        <v>135</v>
      </c>
      <c r="AM41" t="s">
        <v>136</v>
      </c>
      <c r="AN41" t="s">
        <v>137</v>
      </c>
      <c r="AU41">
        <f>(0.35+0.27)/2</f>
        <v>0.31</v>
      </c>
      <c r="AW41" t="s">
        <v>108</v>
      </c>
      <c r="AZ41" t="s">
        <v>212</v>
      </c>
      <c r="BA41" t="s">
        <v>142</v>
      </c>
      <c r="BB41">
        <v>23</v>
      </c>
      <c r="BC41">
        <v>28</v>
      </c>
      <c r="BD41">
        <f>(1.1+1.5)/2</f>
        <v>1.3</v>
      </c>
      <c r="BE41" t="s">
        <v>111</v>
      </c>
      <c r="BF41">
        <v>57</v>
      </c>
      <c r="BH41">
        <v>96</v>
      </c>
      <c r="BI41">
        <v>4</v>
      </c>
      <c r="BJ41">
        <v>3</v>
      </c>
      <c r="BK41">
        <v>10</v>
      </c>
      <c r="BM41">
        <f>(6.7+8.5+7.2+8.2)/4</f>
        <v>7.6499999999999995</v>
      </c>
      <c r="BO41">
        <f>(8.1+8.3+7.9+8.3)/4</f>
        <v>8.1499999999999986</v>
      </c>
      <c r="BR41" t="s">
        <v>69</v>
      </c>
      <c r="BS41" t="s">
        <v>213</v>
      </c>
      <c r="BT41" t="s">
        <v>217</v>
      </c>
      <c r="BU41" t="s">
        <v>218</v>
      </c>
      <c r="BV41">
        <v>30.053660000000001</v>
      </c>
      <c r="BW41">
        <v>0.2291821</v>
      </c>
      <c r="BX41">
        <v>15</v>
      </c>
      <c r="BY41">
        <v>30.017440000000001</v>
      </c>
      <c r="BZ41">
        <v>24.988849999999999</v>
      </c>
      <c r="CA41">
        <v>12</v>
      </c>
      <c r="CB41" t="s">
        <v>215</v>
      </c>
      <c r="CC41" t="s">
        <v>219</v>
      </c>
    </row>
    <row r="42" spans="1:81" x14ac:dyDescent="0.25">
      <c r="A42" t="s">
        <v>81</v>
      </c>
      <c r="B42">
        <v>41</v>
      </c>
      <c r="C42">
        <v>9</v>
      </c>
      <c r="D42">
        <v>10</v>
      </c>
      <c r="E42">
        <v>9</v>
      </c>
      <c r="F42">
        <v>9</v>
      </c>
      <c r="G42">
        <v>28</v>
      </c>
      <c r="H42">
        <v>32</v>
      </c>
      <c r="J42" t="s">
        <v>220</v>
      </c>
      <c r="L42" t="s">
        <v>221</v>
      </c>
      <c r="M42" t="s">
        <v>85</v>
      </c>
      <c r="O42" t="s">
        <v>14</v>
      </c>
      <c r="P42" t="s">
        <v>222</v>
      </c>
      <c r="Q42" t="s">
        <v>223</v>
      </c>
      <c r="R42">
        <v>2019</v>
      </c>
      <c r="S42" t="s">
        <v>224</v>
      </c>
      <c r="U42" t="s">
        <v>225</v>
      </c>
      <c r="V42" t="s">
        <v>226</v>
      </c>
      <c r="W42" t="s">
        <v>91</v>
      </c>
      <c r="X42" t="s">
        <v>126</v>
      </c>
      <c r="Y42" t="s">
        <v>190</v>
      </c>
      <c r="Z42" t="s">
        <v>191</v>
      </c>
      <c r="AA42" t="s">
        <v>192</v>
      </c>
      <c r="AB42" t="s">
        <v>227</v>
      </c>
      <c r="AC42" t="s">
        <v>228</v>
      </c>
      <c r="AD42" t="s">
        <v>132</v>
      </c>
      <c r="AE42" t="s">
        <v>133</v>
      </c>
      <c r="AF42" t="s">
        <v>100</v>
      </c>
      <c r="AG42" t="s">
        <v>102</v>
      </c>
      <c r="AH42" t="s">
        <v>102</v>
      </c>
      <c r="AI42" t="s">
        <v>103</v>
      </c>
      <c r="AJ42" t="s">
        <v>135</v>
      </c>
      <c r="AK42">
        <v>60</v>
      </c>
      <c r="AL42">
        <v>10</v>
      </c>
      <c r="AM42" t="s">
        <v>229</v>
      </c>
      <c r="AN42" t="s">
        <v>106</v>
      </c>
      <c r="AV42">
        <f>78</f>
        <v>78</v>
      </c>
      <c r="AW42" t="s">
        <v>108</v>
      </c>
      <c r="AX42">
        <v>10</v>
      </c>
      <c r="AY42" t="s">
        <v>134</v>
      </c>
      <c r="AZ42" t="s">
        <v>109</v>
      </c>
      <c r="BA42" t="s">
        <v>138</v>
      </c>
      <c r="BB42">
        <v>10</v>
      </c>
      <c r="BC42">
        <v>22</v>
      </c>
      <c r="BE42" t="s">
        <v>139</v>
      </c>
      <c r="BF42">
        <v>4</v>
      </c>
      <c r="BG42">
        <v>0.33100000000000002</v>
      </c>
      <c r="BO42">
        <v>7.5</v>
      </c>
      <c r="BS42" t="s">
        <v>230</v>
      </c>
      <c r="BU42" t="s">
        <v>231</v>
      </c>
      <c r="BV42">
        <v>28.205480000000001</v>
      </c>
      <c r="BW42">
        <v>0.39458579999999999</v>
      </c>
      <c r="BX42">
        <v>21</v>
      </c>
      <c r="BY42">
        <v>27.54795</v>
      </c>
      <c r="BZ42">
        <v>0.88755700000000004</v>
      </c>
      <c r="CA42">
        <v>17</v>
      </c>
      <c r="CB42" t="s">
        <v>113</v>
      </c>
      <c r="CC42" t="s">
        <v>114</v>
      </c>
    </row>
    <row r="43" spans="1:81" x14ac:dyDescent="0.25">
      <c r="A43" t="s">
        <v>81</v>
      </c>
      <c r="B43">
        <v>42</v>
      </c>
      <c r="C43">
        <v>10</v>
      </c>
      <c r="D43">
        <v>11</v>
      </c>
      <c r="E43">
        <v>10</v>
      </c>
      <c r="F43">
        <v>10</v>
      </c>
      <c r="G43">
        <v>29</v>
      </c>
      <c r="H43">
        <v>33</v>
      </c>
      <c r="I43" t="s">
        <v>232</v>
      </c>
      <c r="J43" t="s">
        <v>233</v>
      </c>
      <c r="L43" t="s">
        <v>234</v>
      </c>
      <c r="M43" t="s">
        <v>85</v>
      </c>
      <c r="O43" t="s">
        <v>14</v>
      </c>
      <c r="P43" t="s">
        <v>235</v>
      </c>
      <c r="Q43" t="s">
        <v>236</v>
      </c>
      <c r="R43">
        <v>2018</v>
      </c>
      <c r="S43" t="s">
        <v>158</v>
      </c>
      <c r="U43" t="s">
        <v>237</v>
      </c>
      <c r="V43" t="s">
        <v>238</v>
      </c>
      <c r="W43" t="s">
        <v>91</v>
      </c>
      <c r="X43" t="s">
        <v>126</v>
      </c>
      <c r="Y43" t="s">
        <v>190</v>
      </c>
      <c r="Z43" t="s">
        <v>191</v>
      </c>
      <c r="AA43" t="s">
        <v>239</v>
      </c>
      <c r="AB43" t="s">
        <v>240</v>
      </c>
      <c r="AC43" t="s">
        <v>241</v>
      </c>
      <c r="AD43" t="s">
        <v>132</v>
      </c>
      <c r="AE43" t="s">
        <v>133</v>
      </c>
      <c r="AF43" t="s">
        <v>100</v>
      </c>
      <c r="AG43" t="s">
        <v>102</v>
      </c>
      <c r="AH43" t="s">
        <v>102</v>
      </c>
      <c r="AI43" t="s">
        <v>134</v>
      </c>
      <c r="AJ43" t="s">
        <v>135</v>
      </c>
      <c r="AM43" t="s">
        <v>136</v>
      </c>
      <c r="AN43" t="s">
        <v>242</v>
      </c>
      <c r="AU43">
        <f>(76.06132+71.73742)/2</f>
        <v>73.899370000000005</v>
      </c>
      <c r="AW43" t="s">
        <v>108</v>
      </c>
      <c r="AX43">
        <v>10</v>
      </c>
      <c r="AY43" t="s">
        <v>134</v>
      </c>
      <c r="AZ43" t="s">
        <v>109</v>
      </c>
      <c r="BA43" t="s">
        <v>138</v>
      </c>
      <c r="BB43">
        <v>10</v>
      </c>
      <c r="BC43">
        <v>14</v>
      </c>
      <c r="BD43">
        <v>0.5</v>
      </c>
      <c r="BE43" t="s">
        <v>139</v>
      </c>
      <c r="BF43">
        <v>63</v>
      </c>
      <c r="BG43">
        <f>2/75</f>
        <v>2.6666666666666668E-2</v>
      </c>
      <c r="BP43">
        <v>10</v>
      </c>
      <c r="BU43" t="s">
        <v>243</v>
      </c>
      <c r="BV43">
        <v>26.353850000000001</v>
      </c>
      <c r="BW43">
        <v>0.46859689999999998</v>
      </c>
      <c r="BX43">
        <v>11</v>
      </c>
      <c r="BY43">
        <v>27.100290000000001</v>
      </c>
      <c r="BZ43">
        <v>1.6695446</v>
      </c>
      <c r="CA43">
        <v>6</v>
      </c>
      <c r="CB43" t="s">
        <v>113</v>
      </c>
      <c r="CC43" t="s">
        <v>244</v>
      </c>
    </row>
    <row r="44" spans="1:81" x14ac:dyDescent="0.25">
      <c r="A44" t="s">
        <v>81</v>
      </c>
      <c r="B44">
        <v>43</v>
      </c>
      <c r="C44">
        <v>10</v>
      </c>
      <c r="D44">
        <v>11</v>
      </c>
      <c r="E44">
        <v>10</v>
      </c>
      <c r="F44">
        <v>10</v>
      </c>
      <c r="G44">
        <v>29</v>
      </c>
      <c r="H44">
        <v>34</v>
      </c>
      <c r="I44" t="s">
        <v>232</v>
      </c>
      <c r="J44" t="s">
        <v>233</v>
      </c>
      <c r="L44" t="s">
        <v>234</v>
      </c>
      <c r="M44" t="s">
        <v>85</v>
      </c>
      <c r="O44" t="s">
        <v>14</v>
      </c>
      <c r="P44" t="s">
        <v>235</v>
      </c>
      <c r="Q44" t="s">
        <v>236</v>
      </c>
      <c r="R44">
        <v>2018</v>
      </c>
      <c r="S44" t="s">
        <v>158</v>
      </c>
      <c r="U44" t="s">
        <v>237</v>
      </c>
      <c r="V44" t="s">
        <v>238</v>
      </c>
      <c r="W44" t="s">
        <v>91</v>
      </c>
      <c r="X44" t="s">
        <v>126</v>
      </c>
      <c r="Y44" t="s">
        <v>190</v>
      </c>
      <c r="Z44" t="s">
        <v>191</v>
      </c>
      <c r="AA44" t="s">
        <v>239</v>
      </c>
      <c r="AB44" t="s">
        <v>240</v>
      </c>
      <c r="AC44" t="s">
        <v>241</v>
      </c>
      <c r="AD44" t="s">
        <v>132</v>
      </c>
      <c r="AE44" t="s">
        <v>133</v>
      </c>
      <c r="AF44" t="s">
        <v>100</v>
      </c>
      <c r="AG44" t="s">
        <v>102</v>
      </c>
      <c r="AH44" t="s">
        <v>102</v>
      </c>
      <c r="AI44" t="s">
        <v>134</v>
      </c>
      <c r="AJ44" t="s">
        <v>135</v>
      </c>
      <c r="AM44" t="s">
        <v>136</v>
      </c>
      <c r="AN44" t="s">
        <v>242</v>
      </c>
      <c r="AU44">
        <f>(71.73742+73.70283)/2</f>
        <v>72.720124999999996</v>
      </c>
      <c r="AW44" t="s">
        <v>108</v>
      </c>
      <c r="AX44">
        <v>10</v>
      </c>
      <c r="AY44" t="s">
        <v>103</v>
      </c>
      <c r="AZ44" t="s">
        <v>109</v>
      </c>
      <c r="BA44" t="s">
        <v>138</v>
      </c>
      <c r="BB44">
        <v>14</v>
      </c>
      <c r="BC44">
        <v>18</v>
      </c>
      <c r="BD44">
        <v>0.5</v>
      </c>
      <c r="BE44" t="s">
        <v>139</v>
      </c>
      <c r="BF44">
        <v>63</v>
      </c>
      <c r="BG44">
        <f>2/75</f>
        <v>2.6666666666666668E-2</v>
      </c>
      <c r="BP44">
        <v>10</v>
      </c>
      <c r="BU44" t="s">
        <v>243</v>
      </c>
      <c r="BV44">
        <v>27.100290000000001</v>
      </c>
      <c r="BW44">
        <v>1.6695446</v>
      </c>
      <c r="BX44">
        <v>6</v>
      </c>
      <c r="BY44">
        <v>29.052779999999998</v>
      </c>
      <c r="BZ44">
        <v>0.74609060000000005</v>
      </c>
      <c r="CA44">
        <v>10</v>
      </c>
      <c r="CB44" t="s">
        <v>113</v>
      </c>
      <c r="CC44" t="s">
        <v>245</v>
      </c>
    </row>
    <row r="45" spans="1:81" x14ac:dyDescent="0.25">
      <c r="A45" t="s">
        <v>81</v>
      </c>
      <c r="B45">
        <v>44</v>
      </c>
      <c r="C45">
        <v>10</v>
      </c>
      <c r="D45">
        <v>11</v>
      </c>
      <c r="E45">
        <v>11</v>
      </c>
      <c r="F45">
        <v>10</v>
      </c>
      <c r="G45">
        <v>30</v>
      </c>
      <c r="H45">
        <v>35</v>
      </c>
      <c r="I45" t="s">
        <v>232</v>
      </c>
      <c r="J45" t="s">
        <v>233</v>
      </c>
      <c r="L45" t="s">
        <v>234</v>
      </c>
      <c r="M45" t="s">
        <v>85</v>
      </c>
      <c r="O45" t="s">
        <v>14</v>
      </c>
      <c r="P45" t="s">
        <v>235</v>
      </c>
      <c r="Q45" t="s">
        <v>236</v>
      </c>
      <c r="R45">
        <v>2018</v>
      </c>
      <c r="S45" t="s">
        <v>158</v>
      </c>
      <c r="U45" t="s">
        <v>237</v>
      </c>
      <c r="V45" t="s">
        <v>238</v>
      </c>
      <c r="W45" t="s">
        <v>91</v>
      </c>
      <c r="X45" t="s">
        <v>126</v>
      </c>
      <c r="Y45" t="s">
        <v>190</v>
      </c>
      <c r="Z45" t="s">
        <v>191</v>
      </c>
      <c r="AA45" t="s">
        <v>239</v>
      </c>
      <c r="AB45" t="s">
        <v>240</v>
      </c>
      <c r="AC45" t="s">
        <v>241</v>
      </c>
      <c r="AD45" t="s">
        <v>132</v>
      </c>
      <c r="AE45" t="s">
        <v>133</v>
      </c>
      <c r="AF45" t="s">
        <v>100</v>
      </c>
      <c r="AG45" t="s">
        <v>102</v>
      </c>
      <c r="AH45" t="s">
        <v>102</v>
      </c>
      <c r="AI45" t="s">
        <v>134</v>
      </c>
      <c r="AJ45" t="s">
        <v>135</v>
      </c>
      <c r="AM45" t="s">
        <v>136</v>
      </c>
      <c r="AN45" t="s">
        <v>242</v>
      </c>
      <c r="AU45">
        <f>(86.28145+90.40881)/2</f>
        <v>88.345130000000012</v>
      </c>
      <c r="AW45" t="s">
        <v>108</v>
      </c>
      <c r="AX45">
        <v>10</v>
      </c>
      <c r="AY45" t="s">
        <v>134</v>
      </c>
      <c r="AZ45" t="s">
        <v>109</v>
      </c>
      <c r="BA45" t="s">
        <v>138</v>
      </c>
      <c r="BB45">
        <v>10</v>
      </c>
      <c r="BC45">
        <v>14</v>
      </c>
      <c r="BD45">
        <v>0.5</v>
      </c>
      <c r="BE45" t="s">
        <v>139</v>
      </c>
      <c r="BF45">
        <v>63</v>
      </c>
      <c r="BG45">
        <f>2/75</f>
        <v>2.6666666666666668E-2</v>
      </c>
      <c r="BP45">
        <v>10</v>
      </c>
      <c r="BU45" t="s">
        <v>246</v>
      </c>
      <c r="BV45">
        <v>25.798629999999999</v>
      </c>
      <c r="BW45">
        <v>0.92741499999999999</v>
      </c>
      <c r="BX45">
        <v>11</v>
      </c>
      <c r="BY45">
        <v>27.151679999999999</v>
      </c>
      <c r="BZ45">
        <v>1.6183589</v>
      </c>
      <c r="CA45">
        <v>7</v>
      </c>
      <c r="CB45" t="s">
        <v>113</v>
      </c>
      <c r="CC45" t="s">
        <v>247</v>
      </c>
    </row>
    <row r="46" spans="1:81" x14ac:dyDescent="0.25">
      <c r="A46" t="s">
        <v>81</v>
      </c>
      <c r="B46">
        <v>45</v>
      </c>
      <c r="C46">
        <v>10</v>
      </c>
      <c r="D46">
        <v>11</v>
      </c>
      <c r="E46">
        <v>11</v>
      </c>
      <c r="F46">
        <v>10</v>
      </c>
      <c r="G46">
        <v>30</v>
      </c>
      <c r="H46">
        <v>36</v>
      </c>
      <c r="I46" t="s">
        <v>232</v>
      </c>
      <c r="J46" t="s">
        <v>233</v>
      </c>
      <c r="L46" t="s">
        <v>234</v>
      </c>
      <c r="M46" t="s">
        <v>85</v>
      </c>
      <c r="O46" t="s">
        <v>14</v>
      </c>
      <c r="P46" t="s">
        <v>235</v>
      </c>
      <c r="Q46" t="s">
        <v>236</v>
      </c>
      <c r="R46">
        <v>2018</v>
      </c>
      <c r="S46" t="s">
        <v>158</v>
      </c>
      <c r="U46" t="s">
        <v>237</v>
      </c>
      <c r="V46" t="s">
        <v>238</v>
      </c>
      <c r="W46" t="s">
        <v>91</v>
      </c>
      <c r="X46" t="s">
        <v>126</v>
      </c>
      <c r="Y46" t="s">
        <v>190</v>
      </c>
      <c r="Z46" t="s">
        <v>191</v>
      </c>
      <c r="AA46" t="s">
        <v>239</v>
      </c>
      <c r="AB46" t="s">
        <v>240</v>
      </c>
      <c r="AC46" t="s">
        <v>241</v>
      </c>
      <c r="AD46" t="s">
        <v>132</v>
      </c>
      <c r="AE46" t="s">
        <v>133</v>
      </c>
      <c r="AF46" t="s">
        <v>100</v>
      </c>
      <c r="AG46" t="s">
        <v>102</v>
      </c>
      <c r="AH46" t="s">
        <v>102</v>
      </c>
      <c r="AI46" t="s">
        <v>134</v>
      </c>
      <c r="AJ46" t="s">
        <v>135</v>
      </c>
      <c r="AM46" t="s">
        <v>136</v>
      </c>
      <c r="AN46" t="s">
        <v>242</v>
      </c>
      <c r="AU46">
        <f>(90.40881+74.531)/2</f>
        <v>82.469905000000011</v>
      </c>
      <c r="AW46" t="s">
        <v>108</v>
      </c>
      <c r="AX46">
        <v>10</v>
      </c>
      <c r="AY46" t="s">
        <v>103</v>
      </c>
      <c r="AZ46" t="s">
        <v>109</v>
      </c>
      <c r="BA46" t="s">
        <v>138</v>
      </c>
      <c r="BB46">
        <v>14</v>
      </c>
      <c r="BC46">
        <v>18</v>
      </c>
      <c r="BD46">
        <v>0.5</v>
      </c>
      <c r="BE46" t="s">
        <v>139</v>
      </c>
      <c r="BF46">
        <v>63</v>
      </c>
      <c r="BG46">
        <f>2/75</f>
        <v>2.6666666666666668E-2</v>
      </c>
      <c r="BP46">
        <v>10</v>
      </c>
      <c r="BU46" t="s">
        <v>246</v>
      </c>
      <c r="BV46">
        <v>27.151679999999999</v>
      </c>
      <c r="BW46">
        <v>1.6183589</v>
      </c>
      <c r="BX46">
        <v>7</v>
      </c>
      <c r="BY46">
        <v>28.79588</v>
      </c>
      <c r="BZ46">
        <v>0.69621960000000005</v>
      </c>
      <c r="CA46">
        <v>12</v>
      </c>
      <c r="CB46" t="s">
        <v>113</v>
      </c>
      <c r="CC46" t="s">
        <v>248</v>
      </c>
    </row>
    <row r="47" spans="1:81" x14ac:dyDescent="0.25">
      <c r="A47" t="s">
        <v>81</v>
      </c>
      <c r="B47">
        <v>46</v>
      </c>
      <c r="C47">
        <v>11</v>
      </c>
      <c r="D47">
        <v>12</v>
      </c>
      <c r="E47">
        <v>12</v>
      </c>
      <c r="F47">
        <v>11</v>
      </c>
      <c r="G47">
        <v>31</v>
      </c>
      <c r="H47">
        <v>37</v>
      </c>
      <c r="I47" t="s">
        <v>249</v>
      </c>
      <c r="J47" t="s">
        <v>143</v>
      </c>
      <c r="M47" t="s">
        <v>85</v>
      </c>
      <c r="O47" t="s">
        <v>250</v>
      </c>
      <c r="P47" t="s">
        <v>251</v>
      </c>
      <c r="Q47" t="s">
        <v>252</v>
      </c>
      <c r="R47">
        <v>2005</v>
      </c>
      <c r="S47" t="s">
        <v>253</v>
      </c>
      <c r="T47">
        <v>3</v>
      </c>
      <c r="V47" t="s">
        <v>254</v>
      </c>
      <c r="W47" t="s">
        <v>91</v>
      </c>
      <c r="X47" t="s">
        <v>126</v>
      </c>
      <c r="Y47" t="s">
        <v>255</v>
      </c>
      <c r="Z47" t="s">
        <v>256</v>
      </c>
      <c r="AA47" t="s">
        <v>257</v>
      </c>
      <c r="AB47" t="s">
        <v>258</v>
      </c>
      <c r="AC47" t="s">
        <v>259</v>
      </c>
      <c r="AD47" t="s">
        <v>132</v>
      </c>
      <c r="AE47" t="s">
        <v>133</v>
      </c>
      <c r="AF47" t="s">
        <v>260</v>
      </c>
      <c r="AG47" t="s">
        <v>261</v>
      </c>
      <c r="AH47" t="s">
        <v>262</v>
      </c>
      <c r="AI47" t="s">
        <v>103</v>
      </c>
      <c r="AJ47" t="s">
        <v>135</v>
      </c>
      <c r="AK47">
        <v>14</v>
      </c>
      <c r="AL47">
        <v>26</v>
      </c>
      <c r="AM47" t="s">
        <v>263</v>
      </c>
      <c r="AN47" t="s">
        <v>106</v>
      </c>
      <c r="AO47">
        <v>31.794166666700001</v>
      </c>
      <c r="AP47">
        <v>-96.063055555600002</v>
      </c>
      <c r="AQ47">
        <v>106</v>
      </c>
      <c r="AR47" t="s">
        <v>107</v>
      </c>
      <c r="AS47">
        <v>2002</v>
      </c>
      <c r="AW47" t="s">
        <v>264</v>
      </c>
      <c r="AX47">
        <v>26</v>
      </c>
      <c r="AY47" t="s">
        <v>134</v>
      </c>
      <c r="AZ47" t="s">
        <v>109</v>
      </c>
      <c r="BA47" t="s">
        <v>138</v>
      </c>
      <c r="BB47">
        <v>20</v>
      </c>
      <c r="BC47">
        <v>26</v>
      </c>
      <c r="BD47">
        <v>1</v>
      </c>
      <c r="BE47" t="s">
        <v>111</v>
      </c>
      <c r="BG47">
        <f t="shared" ref="BG47:BG62" si="2">1/5</f>
        <v>0.2</v>
      </c>
      <c r="BP47">
        <v>12</v>
      </c>
      <c r="BS47" t="s">
        <v>265</v>
      </c>
      <c r="BU47" t="s">
        <v>266</v>
      </c>
      <c r="BV47">
        <v>37.299999999999997</v>
      </c>
      <c r="BW47">
        <v>0.4</v>
      </c>
      <c r="BX47">
        <v>8</v>
      </c>
      <c r="BY47">
        <v>40.6</v>
      </c>
      <c r="BZ47">
        <v>0.2</v>
      </c>
      <c r="CA47">
        <v>8</v>
      </c>
      <c r="CB47" t="s">
        <v>113</v>
      </c>
      <c r="CC47" t="s">
        <v>267</v>
      </c>
    </row>
    <row r="48" spans="1:81" x14ac:dyDescent="0.25">
      <c r="A48" t="s">
        <v>81</v>
      </c>
      <c r="B48">
        <v>47</v>
      </c>
      <c r="C48">
        <v>11</v>
      </c>
      <c r="D48">
        <v>12</v>
      </c>
      <c r="E48">
        <v>12</v>
      </c>
      <c r="F48">
        <v>11</v>
      </c>
      <c r="G48">
        <v>31</v>
      </c>
      <c r="H48">
        <v>38</v>
      </c>
      <c r="I48" t="s">
        <v>249</v>
      </c>
      <c r="J48" t="s">
        <v>143</v>
      </c>
      <c r="M48" t="s">
        <v>85</v>
      </c>
      <c r="O48" t="s">
        <v>250</v>
      </c>
      <c r="P48" t="s">
        <v>251</v>
      </c>
      <c r="Q48" t="s">
        <v>252</v>
      </c>
      <c r="R48">
        <v>2005</v>
      </c>
      <c r="S48" t="s">
        <v>253</v>
      </c>
      <c r="T48">
        <v>3</v>
      </c>
      <c r="V48" t="s">
        <v>254</v>
      </c>
      <c r="W48" t="s">
        <v>91</v>
      </c>
      <c r="X48" t="s">
        <v>126</v>
      </c>
      <c r="Y48" t="s">
        <v>255</v>
      </c>
      <c r="Z48" t="s">
        <v>256</v>
      </c>
      <c r="AA48" t="s">
        <v>257</v>
      </c>
      <c r="AB48" t="s">
        <v>258</v>
      </c>
      <c r="AC48" t="s">
        <v>259</v>
      </c>
      <c r="AD48" t="s">
        <v>132</v>
      </c>
      <c r="AE48" t="s">
        <v>133</v>
      </c>
      <c r="AF48" t="s">
        <v>260</v>
      </c>
      <c r="AG48" t="s">
        <v>261</v>
      </c>
      <c r="AH48" t="s">
        <v>262</v>
      </c>
      <c r="AI48" t="s">
        <v>103</v>
      </c>
      <c r="AJ48" t="s">
        <v>135</v>
      </c>
      <c r="AK48">
        <v>14</v>
      </c>
      <c r="AL48">
        <v>26</v>
      </c>
      <c r="AM48" t="s">
        <v>263</v>
      </c>
      <c r="AN48" t="s">
        <v>106</v>
      </c>
      <c r="AO48">
        <v>31.794166666700001</v>
      </c>
      <c r="AP48">
        <v>-96.063055555600002</v>
      </c>
      <c r="AQ48">
        <v>106</v>
      </c>
      <c r="AR48" t="s">
        <v>107</v>
      </c>
      <c r="AS48">
        <v>2002</v>
      </c>
      <c r="AW48" t="s">
        <v>264</v>
      </c>
      <c r="AX48">
        <v>26</v>
      </c>
      <c r="AY48" t="s">
        <v>134</v>
      </c>
      <c r="AZ48" t="s">
        <v>109</v>
      </c>
      <c r="BA48" t="s">
        <v>138</v>
      </c>
      <c r="BB48">
        <v>26</v>
      </c>
      <c r="BC48">
        <v>32</v>
      </c>
      <c r="BD48">
        <v>1</v>
      </c>
      <c r="BE48" t="s">
        <v>111</v>
      </c>
      <c r="BG48">
        <f t="shared" si="2"/>
        <v>0.2</v>
      </c>
      <c r="BP48">
        <v>12</v>
      </c>
      <c r="BS48" t="s">
        <v>265</v>
      </c>
      <c r="BU48" t="s">
        <v>268</v>
      </c>
      <c r="BV48">
        <v>40.6</v>
      </c>
      <c r="BW48">
        <v>0.2</v>
      </c>
      <c r="BX48">
        <v>8</v>
      </c>
      <c r="BY48">
        <v>40.799999999999997</v>
      </c>
      <c r="BZ48">
        <v>0.13</v>
      </c>
      <c r="CA48">
        <v>8</v>
      </c>
      <c r="CB48" t="s">
        <v>113</v>
      </c>
      <c r="CC48" t="s">
        <v>267</v>
      </c>
    </row>
    <row r="49" spans="1:81" x14ac:dyDescent="0.25">
      <c r="A49" t="s">
        <v>81</v>
      </c>
      <c r="B49">
        <v>48</v>
      </c>
      <c r="C49">
        <v>11</v>
      </c>
      <c r="D49">
        <v>12</v>
      </c>
      <c r="E49">
        <v>12</v>
      </c>
      <c r="F49">
        <v>11</v>
      </c>
      <c r="G49">
        <v>32</v>
      </c>
      <c r="H49">
        <v>39</v>
      </c>
      <c r="I49" t="s">
        <v>249</v>
      </c>
      <c r="J49" t="s">
        <v>143</v>
      </c>
      <c r="M49" t="s">
        <v>85</v>
      </c>
      <c r="O49" t="s">
        <v>250</v>
      </c>
      <c r="P49" t="s">
        <v>251</v>
      </c>
      <c r="Q49" t="s">
        <v>252</v>
      </c>
      <c r="R49">
        <v>2005</v>
      </c>
      <c r="S49" t="s">
        <v>253</v>
      </c>
      <c r="T49">
        <v>3</v>
      </c>
      <c r="V49" t="s">
        <v>254</v>
      </c>
      <c r="W49" t="s">
        <v>91</v>
      </c>
      <c r="X49" t="s">
        <v>126</v>
      </c>
      <c r="Y49" t="s">
        <v>255</v>
      </c>
      <c r="Z49" t="s">
        <v>256</v>
      </c>
      <c r="AA49" t="s">
        <v>257</v>
      </c>
      <c r="AB49" t="s">
        <v>258</v>
      </c>
      <c r="AC49" t="s">
        <v>259</v>
      </c>
      <c r="AD49" t="s">
        <v>132</v>
      </c>
      <c r="AE49" t="s">
        <v>133</v>
      </c>
      <c r="AF49" t="s">
        <v>260</v>
      </c>
      <c r="AG49" t="s">
        <v>261</v>
      </c>
      <c r="AH49" t="s">
        <v>262</v>
      </c>
      <c r="AI49" t="s">
        <v>103</v>
      </c>
      <c r="AJ49" t="s">
        <v>135</v>
      </c>
      <c r="AK49">
        <v>14</v>
      </c>
      <c r="AL49">
        <v>26</v>
      </c>
      <c r="AM49" t="s">
        <v>263</v>
      </c>
      <c r="AN49" t="s">
        <v>106</v>
      </c>
      <c r="AO49">
        <v>31.794166666700001</v>
      </c>
      <c r="AP49">
        <v>-96.063055555600002</v>
      </c>
      <c r="AQ49">
        <v>106</v>
      </c>
      <c r="AR49" t="s">
        <v>107</v>
      </c>
      <c r="AS49">
        <v>2002</v>
      </c>
      <c r="AW49" t="s">
        <v>269</v>
      </c>
      <c r="AX49">
        <v>26</v>
      </c>
      <c r="AY49" t="s">
        <v>134</v>
      </c>
      <c r="AZ49" t="s">
        <v>109</v>
      </c>
      <c r="BA49" t="s">
        <v>138</v>
      </c>
      <c r="BB49">
        <v>20</v>
      </c>
      <c r="BC49">
        <v>26</v>
      </c>
      <c r="BD49">
        <v>1</v>
      </c>
      <c r="BE49" t="s">
        <v>111</v>
      </c>
      <c r="BG49">
        <f t="shared" si="2"/>
        <v>0.2</v>
      </c>
      <c r="BP49">
        <v>12</v>
      </c>
      <c r="BS49" t="s">
        <v>265</v>
      </c>
      <c r="BU49" t="s">
        <v>270</v>
      </c>
      <c r="BV49">
        <v>37.5</v>
      </c>
      <c r="BW49">
        <v>0.5</v>
      </c>
      <c r="BX49">
        <v>8</v>
      </c>
      <c r="BY49">
        <v>39.9</v>
      </c>
      <c r="BZ49">
        <v>0.2</v>
      </c>
      <c r="CA49">
        <v>8</v>
      </c>
      <c r="CB49" t="s">
        <v>113</v>
      </c>
      <c r="CC49" t="s">
        <v>267</v>
      </c>
    </row>
    <row r="50" spans="1:81" x14ac:dyDescent="0.25">
      <c r="A50" t="s">
        <v>81</v>
      </c>
      <c r="B50">
        <v>49</v>
      </c>
      <c r="C50">
        <v>11</v>
      </c>
      <c r="D50">
        <v>12</v>
      </c>
      <c r="E50">
        <v>12</v>
      </c>
      <c r="F50">
        <v>11</v>
      </c>
      <c r="G50">
        <v>32</v>
      </c>
      <c r="H50">
        <v>40</v>
      </c>
      <c r="I50" t="s">
        <v>249</v>
      </c>
      <c r="J50" t="s">
        <v>143</v>
      </c>
      <c r="M50" t="s">
        <v>85</v>
      </c>
      <c r="O50" t="s">
        <v>250</v>
      </c>
      <c r="P50" t="s">
        <v>251</v>
      </c>
      <c r="Q50" t="s">
        <v>252</v>
      </c>
      <c r="R50">
        <v>2005</v>
      </c>
      <c r="S50" t="s">
        <v>253</v>
      </c>
      <c r="T50">
        <v>3</v>
      </c>
      <c r="V50" t="s">
        <v>254</v>
      </c>
      <c r="W50" t="s">
        <v>91</v>
      </c>
      <c r="X50" t="s">
        <v>126</v>
      </c>
      <c r="Y50" t="s">
        <v>255</v>
      </c>
      <c r="Z50" t="s">
        <v>256</v>
      </c>
      <c r="AA50" t="s">
        <v>257</v>
      </c>
      <c r="AB50" t="s">
        <v>258</v>
      </c>
      <c r="AC50" t="s">
        <v>259</v>
      </c>
      <c r="AD50" t="s">
        <v>132</v>
      </c>
      <c r="AE50" t="s">
        <v>133</v>
      </c>
      <c r="AF50" t="s">
        <v>260</v>
      </c>
      <c r="AG50" t="s">
        <v>261</v>
      </c>
      <c r="AH50" t="s">
        <v>262</v>
      </c>
      <c r="AI50" t="s">
        <v>103</v>
      </c>
      <c r="AJ50" t="s">
        <v>135</v>
      </c>
      <c r="AK50">
        <v>14</v>
      </c>
      <c r="AL50">
        <v>26</v>
      </c>
      <c r="AM50" t="s">
        <v>263</v>
      </c>
      <c r="AN50" t="s">
        <v>106</v>
      </c>
      <c r="AO50">
        <v>31.794166666700001</v>
      </c>
      <c r="AP50">
        <v>-96.063055555600002</v>
      </c>
      <c r="AQ50">
        <v>106</v>
      </c>
      <c r="AR50" t="s">
        <v>107</v>
      </c>
      <c r="AS50">
        <v>2002</v>
      </c>
      <c r="AW50" t="s">
        <v>269</v>
      </c>
      <c r="AX50">
        <v>26</v>
      </c>
      <c r="AY50" t="s">
        <v>134</v>
      </c>
      <c r="AZ50" t="s">
        <v>109</v>
      </c>
      <c r="BA50" t="s">
        <v>138</v>
      </c>
      <c r="BB50">
        <v>26</v>
      </c>
      <c r="BC50">
        <v>32</v>
      </c>
      <c r="BD50">
        <v>1</v>
      </c>
      <c r="BE50" t="s">
        <v>111</v>
      </c>
      <c r="BG50">
        <f t="shared" si="2"/>
        <v>0.2</v>
      </c>
      <c r="BP50">
        <v>12</v>
      </c>
      <c r="BS50" t="s">
        <v>265</v>
      </c>
      <c r="BU50" t="s">
        <v>271</v>
      </c>
      <c r="BV50">
        <v>39.9</v>
      </c>
      <c r="BW50">
        <v>0.2</v>
      </c>
      <c r="BX50">
        <v>8</v>
      </c>
      <c r="BY50">
        <v>39.4</v>
      </c>
      <c r="BZ50">
        <v>0.19</v>
      </c>
      <c r="CA50">
        <v>8</v>
      </c>
      <c r="CB50" t="s">
        <v>113</v>
      </c>
      <c r="CC50" t="s">
        <v>267</v>
      </c>
    </row>
    <row r="51" spans="1:81" x14ac:dyDescent="0.25">
      <c r="A51" t="s">
        <v>81</v>
      </c>
      <c r="B51">
        <v>50</v>
      </c>
      <c r="C51">
        <v>11</v>
      </c>
      <c r="D51">
        <v>12</v>
      </c>
      <c r="E51">
        <v>12</v>
      </c>
      <c r="F51">
        <v>11</v>
      </c>
      <c r="G51">
        <v>31</v>
      </c>
      <c r="H51">
        <v>41</v>
      </c>
      <c r="I51" t="s">
        <v>249</v>
      </c>
      <c r="J51" t="s">
        <v>143</v>
      </c>
      <c r="M51" t="s">
        <v>85</v>
      </c>
      <c r="O51" t="s">
        <v>250</v>
      </c>
      <c r="P51" t="s">
        <v>251</v>
      </c>
      <c r="Q51" t="s">
        <v>252</v>
      </c>
      <c r="R51">
        <v>2005</v>
      </c>
      <c r="S51" t="s">
        <v>253</v>
      </c>
      <c r="T51">
        <v>3</v>
      </c>
      <c r="V51" t="s">
        <v>254</v>
      </c>
      <c r="W51" t="s">
        <v>91</v>
      </c>
      <c r="X51" t="s">
        <v>126</v>
      </c>
      <c r="Y51" t="s">
        <v>255</v>
      </c>
      <c r="Z51" t="s">
        <v>256</v>
      </c>
      <c r="AA51" t="s">
        <v>257</v>
      </c>
      <c r="AB51" t="s">
        <v>258</v>
      </c>
      <c r="AC51" t="s">
        <v>259</v>
      </c>
      <c r="AD51" t="s">
        <v>132</v>
      </c>
      <c r="AE51" t="s">
        <v>133</v>
      </c>
      <c r="AF51" t="s">
        <v>260</v>
      </c>
      <c r="AG51" t="s">
        <v>101</v>
      </c>
      <c r="AH51" t="s">
        <v>262</v>
      </c>
      <c r="AI51" t="s">
        <v>103</v>
      </c>
      <c r="AJ51" t="s">
        <v>104</v>
      </c>
      <c r="AK51">
        <v>14</v>
      </c>
      <c r="AL51">
        <v>26</v>
      </c>
      <c r="AM51" t="s">
        <v>105</v>
      </c>
      <c r="AN51" t="s">
        <v>106</v>
      </c>
      <c r="AO51">
        <v>31.794166666700001</v>
      </c>
      <c r="AP51">
        <v>-96.063055555600002</v>
      </c>
      <c r="AQ51">
        <v>106</v>
      </c>
      <c r="AR51" t="s">
        <v>107</v>
      </c>
      <c r="AS51">
        <v>2002</v>
      </c>
      <c r="AW51" t="s">
        <v>264</v>
      </c>
      <c r="AX51">
        <v>26</v>
      </c>
      <c r="AY51" t="s">
        <v>134</v>
      </c>
      <c r="AZ51" t="s">
        <v>109</v>
      </c>
      <c r="BA51" t="s">
        <v>138</v>
      </c>
      <c r="BB51">
        <v>20</v>
      </c>
      <c r="BC51">
        <v>26</v>
      </c>
      <c r="BD51">
        <v>1</v>
      </c>
      <c r="BE51" t="s">
        <v>111</v>
      </c>
      <c r="BG51">
        <f t="shared" si="2"/>
        <v>0.2</v>
      </c>
      <c r="BP51">
        <v>12</v>
      </c>
      <c r="BS51" t="s">
        <v>265</v>
      </c>
      <c r="BU51" t="s">
        <v>272</v>
      </c>
      <c r="BV51">
        <v>37.299999999999997</v>
      </c>
      <c r="BW51">
        <v>0.4</v>
      </c>
      <c r="BX51">
        <v>8</v>
      </c>
      <c r="BY51">
        <v>39.299999999999997</v>
      </c>
      <c r="BZ51">
        <v>0.22</v>
      </c>
      <c r="CA51">
        <v>8</v>
      </c>
      <c r="CB51" t="s">
        <v>113</v>
      </c>
      <c r="CC51" t="s">
        <v>267</v>
      </c>
    </row>
    <row r="52" spans="1:81" x14ac:dyDescent="0.25">
      <c r="A52" t="s">
        <v>81</v>
      </c>
      <c r="B52">
        <v>51</v>
      </c>
      <c r="C52">
        <v>11</v>
      </c>
      <c r="D52">
        <v>12</v>
      </c>
      <c r="E52">
        <v>12</v>
      </c>
      <c r="F52">
        <v>11</v>
      </c>
      <c r="G52">
        <v>31</v>
      </c>
      <c r="H52">
        <v>42</v>
      </c>
      <c r="I52" t="s">
        <v>249</v>
      </c>
      <c r="J52" t="s">
        <v>143</v>
      </c>
      <c r="M52" t="s">
        <v>85</v>
      </c>
      <c r="O52" t="s">
        <v>250</v>
      </c>
      <c r="P52" t="s">
        <v>251</v>
      </c>
      <c r="Q52" t="s">
        <v>252</v>
      </c>
      <c r="R52">
        <v>2005</v>
      </c>
      <c r="S52" t="s">
        <v>253</v>
      </c>
      <c r="T52">
        <v>3</v>
      </c>
      <c r="V52" t="s">
        <v>254</v>
      </c>
      <c r="W52" t="s">
        <v>91</v>
      </c>
      <c r="X52" t="s">
        <v>126</v>
      </c>
      <c r="Y52" t="s">
        <v>255</v>
      </c>
      <c r="Z52" t="s">
        <v>256</v>
      </c>
      <c r="AA52" t="s">
        <v>257</v>
      </c>
      <c r="AB52" t="s">
        <v>258</v>
      </c>
      <c r="AC52" t="s">
        <v>259</v>
      </c>
      <c r="AD52" t="s">
        <v>132</v>
      </c>
      <c r="AE52" t="s">
        <v>133</v>
      </c>
      <c r="AF52" t="s">
        <v>260</v>
      </c>
      <c r="AG52" t="s">
        <v>101</v>
      </c>
      <c r="AH52" t="s">
        <v>262</v>
      </c>
      <c r="AI52" t="s">
        <v>103</v>
      </c>
      <c r="AJ52" t="s">
        <v>104</v>
      </c>
      <c r="AK52">
        <v>14</v>
      </c>
      <c r="AL52">
        <v>26</v>
      </c>
      <c r="AM52" t="s">
        <v>105</v>
      </c>
      <c r="AN52" t="s">
        <v>106</v>
      </c>
      <c r="AO52">
        <v>31.794166666700001</v>
      </c>
      <c r="AP52">
        <v>-96.063055555600002</v>
      </c>
      <c r="AQ52">
        <v>106</v>
      </c>
      <c r="AR52" t="s">
        <v>107</v>
      </c>
      <c r="AS52">
        <v>2002</v>
      </c>
      <c r="AW52" t="s">
        <v>264</v>
      </c>
      <c r="AX52">
        <v>26</v>
      </c>
      <c r="AY52" t="s">
        <v>134</v>
      </c>
      <c r="AZ52" t="s">
        <v>109</v>
      </c>
      <c r="BA52" t="s">
        <v>138</v>
      </c>
      <c r="BB52">
        <v>26</v>
      </c>
      <c r="BC52">
        <v>32</v>
      </c>
      <c r="BD52">
        <v>1</v>
      </c>
      <c r="BE52" t="s">
        <v>111</v>
      </c>
      <c r="BG52">
        <f t="shared" si="2"/>
        <v>0.2</v>
      </c>
      <c r="BP52">
        <v>12</v>
      </c>
      <c r="BS52" t="s">
        <v>265</v>
      </c>
      <c r="BU52" t="s">
        <v>273</v>
      </c>
      <c r="BV52">
        <v>39.299999999999997</v>
      </c>
      <c r="BW52">
        <v>0.22</v>
      </c>
      <c r="BX52">
        <v>8</v>
      </c>
      <c r="BY52">
        <v>39.1</v>
      </c>
      <c r="BZ52">
        <v>0.26</v>
      </c>
      <c r="CA52">
        <v>8</v>
      </c>
      <c r="CB52" t="s">
        <v>113</v>
      </c>
      <c r="CC52" t="s">
        <v>267</v>
      </c>
    </row>
    <row r="53" spans="1:81" x14ac:dyDescent="0.25">
      <c r="A53" t="s">
        <v>81</v>
      </c>
      <c r="B53">
        <v>52</v>
      </c>
      <c r="C53">
        <v>11</v>
      </c>
      <c r="D53">
        <v>12</v>
      </c>
      <c r="E53">
        <v>12</v>
      </c>
      <c r="F53">
        <v>11</v>
      </c>
      <c r="G53">
        <v>31</v>
      </c>
      <c r="H53">
        <v>43</v>
      </c>
      <c r="I53" t="s">
        <v>249</v>
      </c>
      <c r="J53" t="s">
        <v>143</v>
      </c>
      <c r="M53" t="s">
        <v>85</v>
      </c>
      <c r="O53" t="s">
        <v>250</v>
      </c>
      <c r="P53" t="s">
        <v>251</v>
      </c>
      <c r="Q53" t="s">
        <v>252</v>
      </c>
      <c r="R53">
        <v>2005</v>
      </c>
      <c r="S53" t="s">
        <v>253</v>
      </c>
      <c r="T53">
        <v>3</v>
      </c>
      <c r="V53" t="s">
        <v>254</v>
      </c>
      <c r="W53" t="s">
        <v>91</v>
      </c>
      <c r="X53" t="s">
        <v>126</v>
      </c>
      <c r="Y53" t="s">
        <v>255</v>
      </c>
      <c r="Z53" t="s">
        <v>256</v>
      </c>
      <c r="AA53" t="s">
        <v>257</v>
      </c>
      <c r="AB53" t="s">
        <v>258</v>
      </c>
      <c r="AC53" t="s">
        <v>259</v>
      </c>
      <c r="AD53" t="s">
        <v>132</v>
      </c>
      <c r="AE53" t="s">
        <v>133</v>
      </c>
      <c r="AF53" t="s">
        <v>260</v>
      </c>
      <c r="AG53" t="s">
        <v>101</v>
      </c>
      <c r="AH53" t="s">
        <v>262</v>
      </c>
      <c r="AI53" t="s">
        <v>103</v>
      </c>
      <c r="AJ53" t="s">
        <v>104</v>
      </c>
      <c r="AK53">
        <v>14</v>
      </c>
      <c r="AL53">
        <v>26</v>
      </c>
      <c r="AM53" t="s">
        <v>105</v>
      </c>
      <c r="AN53" t="s">
        <v>106</v>
      </c>
      <c r="AO53">
        <v>31.794166666700001</v>
      </c>
      <c r="AP53">
        <v>-96.063055555600002</v>
      </c>
      <c r="AQ53">
        <v>106</v>
      </c>
      <c r="AR53" t="s">
        <v>107</v>
      </c>
      <c r="AS53">
        <v>2002</v>
      </c>
      <c r="AW53" t="s">
        <v>264</v>
      </c>
      <c r="AX53">
        <v>26</v>
      </c>
      <c r="AY53" t="s">
        <v>134</v>
      </c>
      <c r="AZ53" t="s">
        <v>109</v>
      </c>
      <c r="BA53" t="s">
        <v>138</v>
      </c>
      <c r="BB53">
        <v>20</v>
      </c>
      <c r="BC53">
        <v>26</v>
      </c>
      <c r="BD53">
        <v>1</v>
      </c>
      <c r="BE53" t="s">
        <v>111</v>
      </c>
      <c r="BG53">
        <f t="shared" si="2"/>
        <v>0.2</v>
      </c>
      <c r="BP53">
        <v>12</v>
      </c>
      <c r="BS53" t="s">
        <v>265</v>
      </c>
      <c r="BU53" t="s">
        <v>274</v>
      </c>
      <c r="BV53">
        <v>40.9</v>
      </c>
      <c r="BW53">
        <v>0.2</v>
      </c>
      <c r="BX53">
        <v>8</v>
      </c>
      <c r="BY53">
        <v>40.6</v>
      </c>
      <c r="BZ53">
        <v>0.2</v>
      </c>
      <c r="CA53">
        <v>8</v>
      </c>
      <c r="CB53" t="s">
        <v>113</v>
      </c>
      <c r="CC53" t="s">
        <v>267</v>
      </c>
    </row>
    <row r="54" spans="1:81" x14ac:dyDescent="0.25">
      <c r="A54" t="s">
        <v>81</v>
      </c>
      <c r="B54">
        <v>53</v>
      </c>
      <c r="C54">
        <v>11</v>
      </c>
      <c r="D54">
        <v>12</v>
      </c>
      <c r="E54">
        <v>12</v>
      </c>
      <c r="F54">
        <v>11</v>
      </c>
      <c r="G54">
        <v>31</v>
      </c>
      <c r="H54">
        <v>44</v>
      </c>
      <c r="I54" t="s">
        <v>249</v>
      </c>
      <c r="J54" t="s">
        <v>143</v>
      </c>
      <c r="M54" t="s">
        <v>85</v>
      </c>
      <c r="O54" t="s">
        <v>250</v>
      </c>
      <c r="P54" t="s">
        <v>251</v>
      </c>
      <c r="Q54" t="s">
        <v>252</v>
      </c>
      <c r="R54">
        <v>2005</v>
      </c>
      <c r="S54" t="s">
        <v>253</v>
      </c>
      <c r="T54">
        <v>3</v>
      </c>
      <c r="V54" t="s">
        <v>254</v>
      </c>
      <c r="W54" t="s">
        <v>91</v>
      </c>
      <c r="X54" t="s">
        <v>126</v>
      </c>
      <c r="Y54" t="s">
        <v>255</v>
      </c>
      <c r="Z54" t="s">
        <v>256</v>
      </c>
      <c r="AA54" t="s">
        <v>257</v>
      </c>
      <c r="AB54" t="s">
        <v>258</v>
      </c>
      <c r="AC54" t="s">
        <v>259</v>
      </c>
      <c r="AD54" t="s">
        <v>132</v>
      </c>
      <c r="AE54" t="s">
        <v>133</v>
      </c>
      <c r="AF54" t="s">
        <v>260</v>
      </c>
      <c r="AG54" t="s">
        <v>101</v>
      </c>
      <c r="AH54" t="s">
        <v>262</v>
      </c>
      <c r="AI54" t="s">
        <v>103</v>
      </c>
      <c r="AJ54" t="s">
        <v>104</v>
      </c>
      <c r="AK54">
        <v>14</v>
      </c>
      <c r="AL54">
        <v>26</v>
      </c>
      <c r="AM54" t="s">
        <v>105</v>
      </c>
      <c r="AN54" t="s">
        <v>106</v>
      </c>
      <c r="AO54">
        <v>31.794166666700001</v>
      </c>
      <c r="AP54">
        <v>-96.063055555600002</v>
      </c>
      <c r="AQ54">
        <v>106</v>
      </c>
      <c r="AR54" t="s">
        <v>107</v>
      </c>
      <c r="AS54">
        <v>2002</v>
      </c>
      <c r="AW54" t="s">
        <v>264</v>
      </c>
      <c r="AX54">
        <v>26</v>
      </c>
      <c r="AY54" t="s">
        <v>134</v>
      </c>
      <c r="AZ54" t="s">
        <v>109</v>
      </c>
      <c r="BA54" t="s">
        <v>138</v>
      </c>
      <c r="BB54">
        <v>26</v>
      </c>
      <c r="BC54">
        <v>32</v>
      </c>
      <c r="BD54">
        <v>1</v>
      </c>
      <c r="BE54" t="s">
        <v>111</v>
      </c>
      <c r="BG54">
        <f t="shared" si="2"/>
        <v>0.2</v>
      </c>
      <c r="BP54">
        <v>12</v>
      </c>
      <c r="BS54" t="s">
        <v>265</v>
      </c>
      <c r="BU54" t="s">
        <v>275</v>
      </c>
      <c r="BV54">
        <v>40.6</v>
      </c>
      <c r="BW54">
        <v>0.2</v>
      </c>
      <c r="BX54">
        <v>8</v>
      </c>
      <c r="BY54">
        <v>40.1</v>
      </c>
      <c r="BZ54">
        <v>0.26</v>
      </c>
      <c r="CA54">
        <v>8</v>
      </c>
      <c r="CB54" t="s">
        <v>113</v>
      </c>
      <c r="CC54" t="s">
        <v>267</v>
      </c>
    </row>
    <row r="55" spans="1:81" x14ac:dyDescent="0.25">
      <c r="A55" t="s">
        <v>81</v>
      </c>
      <c r="B55">
        <v>54</v>
      </c>
      <c r="C55">
        <v>11</v>
      </c>
      <c r="D55">
        <v>12</v>
      </c>
      <c r="E55">
        <v>12</v>
      </c>
      <c r="F55">
        <v>11</v>
      </c>
      <c r="G55">
        <v>31</v>
      </c>
      <c r="H55">
        <v>45</v>
      </c>
      <c r="I55" t="s">
        <v>249</v>
      </c>
      <c r="J55" t="s">
        <v>143</v>
      </c>
      <c r="M55" t="s">
        <v>85</v>
      </c>
      <c r="O55" t="s">
        <v>250</v>
      </c>
      <c r="P55" t="s">
        <v>251</v>
      </c>
      <c r="Q55" t="s">
        <v>252</v>
      </c>
      <c r="R55">
        <v>2005</v>
      </c>
      <c r="S55" t="s">
        <v>253</v>
      </c>
      <c r="T55">
        <v>3</v>
      </c>
      <c r="V55" t="s">
        <v>254</v>
      </c>
      <c r="W55" t="s">
        <v>91</v>
      </c>
      <c r="X55" t="s">
        <v>126</v>
      </c>
      <c r="Y55" t="s">
        <v>255</v>
      </c>
      <c r="Z55" t="s">
        <v>256</v>
      </c>
      <c r="AA55" t="s">
        <v>257</v>
      </c>
      <c r="AB55" t="s">
        <v>258</v>
      </c>
      <c r="AC55" t="s">
        <v>259</v>
      </c>
      <c r="AD55" t="s">
        <v>132</v>
      </c>
      <c r="AE55" t="s">
        <v>133</v>
      </c>
      <c r="AF55" t="s">
        <v>260</v>
      </c>
      <c r="AG55" t="s">
        <v>101</v>
      </c>
      <c r="AH55" t="s">
        <v>262</v>
      </c>
      <c r="AI55" t="s">
        <v>103</v>
      </c>
      <c r="AJ55" t="s">
        <v>104</v>
      </c>
      <c r="AK55">
        <v>14</v>
      </c>
      <c r="AL55">
        <v>26</v>
      </c>
      <c r="AM55" t="s">
        <v>105</v>
      </c>
      <c r="AN55" t="s">
        <v>106</v>
      </c>
      <c r="AO55">
        <v>31.794166666700001</v>
      </c>
      <c r="AP55">
        <v>-96.063055555600002</v>
      </c>
      <c r="AQ55">
        <v>106</v>
      </c>
      <c r="AR55" t="s">
        <v>107</v>
      </c>
      <c r="AS55">
        <v>2002</v>
      </c>
      <c r="AW55" t="s">
        <v>264</v>
      </c>
      <c r="AX55">
        <v>26</v>
      </c>
      <c r="AY55" t="s">
        <v>134</v>
      </c>
      <c r="AZ55" t="s">
        <v>109</v>
      </c>
      <c r="BA55" t="s">
        <v>138</v>
      </c>
      <c r="BB55">
        <v>20</v>
      </c>
      <c r="BC55">
        <v>26</v>
      </c>
      <c r="BD55">
        <v>1</v>
      </c>
      <c r="BE55" t="s">
        <v>111</v>
      </c>
      <c r="BG55">
        <f t="shared" si="2"/>
        <v>0.2</v>
      </c>
      <c r="BP55">
        <v>12</v>
      </c>
      <c r="BS55" t="s">
        <v>265</v>
      </c>
      <c r="BU55" t="s">
        <v>276</v>
      </c>
      <c r="BV55">
        <v>40.4</v>
      </c>
      <c r="BW55">
        <v>0.13</v>
      </c>
      <c r="BX55">
        <v>8</v>
      </c>
      <c r="BY55">
        <v>40.5</v>
      </c>
      <c r="BZ55">
        <v>0.15</v>
      </c>
      <c r="CA55">
        <v>8</v>
      </c>
      <c r="CB55" t="s">
        <v>113</v>
      </c>
      <c r="CC55" t="s">
        <v>267</v>
      </c>
    </row>
    <row r="56" spans="1:81" x14ac:dyDescent="0.25">
      <c r="A56" t="s">
        <v>81</v>
      </c>
      <c r="B56">
        <v>55</v>
      </c>
      <c r="C56">
        <v>11</v>
      </c>
      <c r="D56">
        <v>12</v>
      </c>
      <c r="E56">
        <v>12</v>
      </c>
      <c r="F56">
        <v>11</v>
      </c>
      <c r="G56">
        <v>31</v>
      </c>
      <c r="H56">
        <v>46</v>
      </c>
      <c r="I56" t="s">
        <v>249</v>
      </c>
      <c r="J56" t="s">
        <v>143</v>
      </c>
      <c r="M56" t="s">
        <v>85</v>
      </c>
      <c r="O56" t="s">
        <v>250</v>
      </c>
      <c r="P56" t="s">
        <v>251</v>
      </c>
      <c r="Q56" t="s">
        <v>252</v>
      </c>
      <c r="R56">
        <v>2005</v>
      </c>
      <c r="S56" t="s">
        <v>253</v>
      </c>
      <c r="T56">
        <v>3</v>
      </c>
      <c r="V56" t="s">
        <v>254</v>
      </c>
      <c r="W56" t="s">
        <v>91</v>
      </c>
      <c r="X56" t="s">
        <v>126</v>
      </c>
      <c r="Y56" t="s">
        <v>255</v>
      </c>
      <c r="Z56" t="s">
        <v>256</v>
      </c>
      <c r="AA56" t="s">
        <v>257</v>
      </c>
      <c r="AB56" t="s">
        <v>258</v>
      </c>
      <c r="AC56" t="s">
        <v>259</v>
      </c>
      <c r="AD56" t="s">
        <v>132</v>
      </c>
      <c r="AE56" t="s">
        <v>133</v>
      </c>
      <c r="AF56" t="s">
        <v>260</v>
      </c>
      <c r="AG56" t="s">
        <v>101</v>
      </c>
      <c r="AH56" t="s">
        <v>262</v>
      </c>
      <c r="AI56" t="s">
        <v>103</v>
      </c>
      <c r="AJ56" t="s">
        <v>104</v>
      </c>
      <c r="AK56">
        <v>14</v>
      </c>
      <c r="AL56">
        <v>26</v>
      </c>
      <c r="AM56" t="s">
        <v>105</v>
      </c>
      <c r="AN56" t="s">
        <v>106</v>
      </c>
      <c r="AO56">
        <v>31.794166666700001</v>
      </c>
      <c r="AP56">
        <v>-96.063055555600002</v>
      </c>
      <c r="AQ56">
        <v>106</v>
      </c>
      <c r="AR56" t="s">
        <v>107</v>
      </c>
      <c r="AS56">
        <v>2002</v>
      </c>
      <c r="AW56" t="s">
        <v>264</v>
      </c>
      <c r="AX56">
        <v>26</v>
      </c>
      <c r="AY56" t="s">
        <v>134</v>
      </c>
      <c r="AZ56" t="s">
        <v>109</v>
      </c>
      <c r="BA56" t="s">
        <v>138</v>
      </c>
      <c r="BB56">
        <v>20</v>
      </c>
      <c r="BC56">
        <v>26</v>
      </c>
      <c r="BD56">
        <v>1</v>
      </c>
      <c r="BE56" t="s">
        <v>111</v>
      </c>
      <c r="BG56">
        <f t="shared" si="2"/>
        <v>0.2</v>
      </c>
      <c r="BP56">
        <v>12</v>
      </c>
      <c r="BS56" t="s">
        <v>265</v>
      </c>
      <c r="BU56" t="s">
        <v>277</v>
      </c>
      <c r="BV56">
        <v>40.5</v>
      </c>
      <c r="BW56">
        <v>0.15</v>
      </c>
      <c r="BX56">
        <v>8</v>
      </c>
      <c r="BY56">
        <v>40.799999999999997</v>
      </c>
      <c r="BZ56">
        <v>0.13</v>
      </c>
      <c r="CA56">
        <v>8</v>
      </c>
      <c r="CB56" t="s">
        <v>113</v>
      </c>
      <c r="CC56" t="s">
        <v>267</v>
      </c>
    </row>
    <row r="57" spans="1:81" x14ac:dyDescent="0.25">
      <c r="A57" t="s">
        <v>81</v>
      </c>
      <c r="B57">
        <v>56</v>
      </c>
      <c r="C57">
        <v>11</v>
      </c>
      <c r="D57">
        <v>12</v>
      </c>
      <c r="E57">
        <v>12</v>
      </c>
      <c r="F57">
        <v>11</v>
      </c>
      <c r="G57">
        <v>32</v>
      </c>
      <c r="H57">
        <v>47</v>
      </c>
      <c r="I57" t="s">
        <v>249</v>
      </c>
      <c r="J57" t="s">
        <v>143</v>
      </c>
      <c r="M57" t="s">
        <v>85</v>
      </c>
      <c r="O57" t="s">
        <v>250</v>
      </c>
      <c r="P57" t="s">
        <v>251</v>
      </c>
      <c r="Q57" t="s">
        <v>252</v>
      </c>
      <c r="R57">
        <v>2005</v>
      </c>
      <c r="S57" t="s">
        <v>253</v>
      </c>
      <c r="T57">
        <v>3</v>
      </c>
      <c r="V57" t="s">
        <v>254</v>
      </c>
      <c r="W57" t="s">
        <v>91</v>
      </c>
      <c r="X57" t="s">
        <v>126</v>
      </c>
      <c r="Y57" t="s">
        <v>255</v>
      </c>
      <c r="Z57" t="s">
        <v>256</v>
      </c>
      <c r="AA57" t="s">
        <v>257</v>
      </c>
      <c r="AB57" t="s">
        <v>258</v>
      </c>
      <c r="AC57" t="s">
        <v>259</v>
      </c>
      <c r="AD57" t="s">
        <v>132</v>
      </c>
      <c r="AE57" t="s">
        <v>133</v>
      </c>
      <c r="AF57" t="s">
        <v>260</v>
      </c>
      <c r="AG57" t="s">
        <v>101</v>
      </c>
      <c r="AH57" t="s">
        <v>262</v>
      </c>
      <c r="AI57" t="s">
        <v>103</v>
      </c>
      <c r="AJ57" t="s">
        <v>104</v>
      </c>
      <c r="AK57">
        <v>14</v>
      </c>
      <c r="AL57">
        <v>26</v>
      </c>
      <c r="AM57" t="s">
        <v>105</v>
      </c>
      <c r="AN57" t="s">
        <v>106</v>
      </c>
      <c r="AO57">
        <v>31.794166666700001</v>
      </c>
      <c r="AP57">
        <v>-96.063055555600002</v>
      </c>
      <c r="AQ57">
        <v>106</v>
      </c>
      <c r="AR57" t="s">
        <v>107</v>
      </c>
      <c r="AS57">
        <v>2002</v>
      </c>
      <c r="AW57" t="s">
        <v>269</v>
      </c>
      <c r="AX57">
        <v>26</v>
      </c>
      <c r="AY57" t="s">
        <v>134</v>
      </c>
      <c r="AZ57" t="s">
        <v>109</v>
      </c>
      <c r="BA57" t="s">
        <v>138</v>
      </c>
      <c r="BB57">
        <v>26</v>
      </c>
      <c r="BC57">
        <v>32</v>
      </c>
      <c r="BD57">
        <v>1</v>
      </c>
      <c r="BE57" t="s">
        <v>111</v>
      </c>
      <c r="BG57">
        <f t="shared" si="2"/>
        <v>0.2</v>
      </c>
      <c r="BP57">
        <v>12</v>
      </c>
      <c r="BS57" t="s">
        <v>265</v>
      </c>
      <c r="BU57" t="s">
        <v>278</v>
      </c>
      <c r="BV57">
        <v>37.5</v>
      </c>
      <c r="BW57">
        <v>0.5</v>
      </c>
      <c r="BX57">
        <v>8</v>
      </c>
      <c r="BY57">
        <v>38.6</v>
      </c>
      <c r="BZ57">
        <v>0.4</v>
      </c>
      <c r="CA57">
        <v>8</v>
      </c>
      <c r="CB57" t="s">
        <v>113</v>
      </c>
      <c r="CC57" t="s">
        <v>267</v>
      </c>
    </row>
    <row r="58" spans="1:81" x14ac:dyDescent="0.25">
      <c r="A58" t="s">
        <v>81</v>
      </c>
      <c r="B58">
        <v>57</v>
      </c>
      <c r="C58">
        <v>11</v>
      </c>
      <c r="D58">
        <v>12</v>
      </c>
      <c r="E58">
        <v>12</v>
      </c>
      <c r="F58">
        <v>11</v>
      </c>
      <c r="G58">
        <v>32</v>
      </c>
      <c r="H58">
        <v>48</v>
      </c>
      <c r="I58" t="s">
        <v>249</v>
      </c>
      <c r="J58" t="s">
        <v>143</v>
      </c>
      <c r="M58" t="s">
        <v>85</v>
      </c>
      <c r="O58" t="s">
        <v>250</v>
      </c>
      <c r="P58" t="s">
        <v>251</v>
      </c>
      <c r="Q58" t="s">
        <v>252</v>
      </c>
      <c r="R58">
        <v>2005</v>
      </c>
      <c r="S58" t="s">
        <v>253</v>
      </c>
      <c r="T58">
        <v>3</v>
      </c>
      <c r="V58" t="s">
        <v>254</v>
      </c>
      <c r="W58" t="s">
        <v>91</v>
      </c>
      <c r="X58" t="s">
        <v>126</v>
      </c>
      <c r="Y58" t="s">
        <v>255</v>
      </c>
      <c r="Z58" t="s">
        <v>256</v>
      </c>
      <c r="AA58" t="s">
        <v>257</v>
      </c>
      <c r="AB58" t="s">
        <v>258</v>
      </c>
      <c r="AC58" t="s">
        <v>259</v>
      </c>
      <c r="AD58" t="s">
        <v>132</v>
      </c>
      <c r="AE58" t="s">
        <v>133</v>
      </c>
      <c r="AF58" t="s">
        <v>260</v>
      </c>
      <c r="AG58" t="s">
        <v>101</v>
      </c>
      <c r="AH58" t="s">
        <v>262</v>
      </c>
      <c r="AI58" t="s">
        <v>103</v>
      </c>
      <c r="AJ58" t="s">
        <v>104</v>
      </c>
      <c r="AK58">
        <v>14</v>
      </c>
      <c r="AL58">
        <v>26</v>
      </c>
      <c r="AM58" t="s">
        <v>105</v>
      </c>
      <c r="AN58" t="s">
        <v>106</v>
      </c>
      <c r="AO58">
        <v>31.794166666700001</v>
      </c>
      <c r="AP58">
        <v>-96.063055555600002</v>
      </c>
      <c r="AQ58">
        <v>106</v>
      </c>
      <c r="AR58" t="s">
        <v>107</v>
      </c>
      <c r="AS58">
        <v>2002</v>
      </c>
      <c r="AW58" t="s">
        <v>269</v>
      </c>
      <c r="AX58">
        <v>26</v>
      </c>
      <c r="AY58" t="s">
        <v>134</v>
      </c>
      <c r="AZ58" t="s">
        <v>109</v>
      </c>
      <c r="BA58" t="s">
        <v>138</v>
      </c>
      <c r="BB58">
        <v>20</v>
      </c>
      <c r="BC58">
        <v>26</v>
      </c>
      <c r="BD58">
        <v>1</v>
      </c>
      <c r="BE58" t="s">
        <v>111</v>
      </c>
      <c r="BG58">
        <f t="shared" si="2"/>
        <v>0.2</v>
      </c>
      <c r="BP58">
        <v>12</v>
      </c>
      <c r="BS58" t="s">
        <v>265</v>
      </c>
      <c r="BU58" t="s">
        <v>279</v>
      </c>
      <c r="BV58">
        <v>38.6</v>
      </c>
      <c r="BW58">
        <v>0.4</v>
      </c>
      <c r="BX58">
        <v>8</v>
      </c>
      <c r="BY58">
        <v>38.9</v>
      </c>
      <c r="BZ58">
        <v>0.69</v>
      </c>
      <c r="CA58">
        <v>8</v>
      </c>
      <c r="CB58" t="s">
        <v>113</v>
      </c>
      <c r="CC58" t="s">
        <v>267</v>
      </c>
    </row>
    <row r="59" spans="1:81" x14ac:dyDescent="0.25">
      <c r="A59" t="s">
        <v>81</v>
      </c>
      <c r="B59">
        <v>58</v>
      </c>
      <c r="C59">
        <v>11</v>
      </c>
      <c r="D59">
        <v>12</v>
      </c>
      <c r="E59">
        <v>12</v>
      </c>
      <c r="F59">
        <v>11</v>
      </c>
      <c r="G59">
        <v>32</v>
      </c>
      <c r="H59">
        <v>49</v>
      </c>
      <c r="I59" t="s">
        <v>249</v>
      </c>
      <c r="J59" t="s">
        <v>143</v>
      </c>
      <c r="M59" t="s">
        <v>85</v>
      </c>
      <c r="O59" t="s">
        <v>250</v>
      </c>
      <c r="P59" t="s">
        <v>251</v>
      </c>
      <c r="Q59" t="s">
        <v>252</v>
      </c>
      <c r="R59">
        <v>2005</v>
      </c>
      <c r="S59" t="s">
        <v>253</v>
      </c>
      <c r="T59">
        <v>3</v>
      </c>
      <c r="V59" t="s">
        <v>254</v>
      </c>
      <c r="W59" t="s">
        <v>91</v>
      </c>
      <c r="X59" t="s">
        <v>126</v>
      </c>
      <c r="Y59" t="s">
        <v>255</v>
      </c>
      <c r="Z59" t="s">
        <v>256</v>
      </c>
      <c r="AA59" t="s">
        <v>257</v>
      </c>
      <c r="AB59" t="s">
        <v>258</v>
      </c>
      <c r="AC59" t="s">
        <v>259</v>
      </c>
      <c r="AD59" t="s">
        <v>132</v>
      </c>
      <c r="AE59" t="s">
        <v>133</v>
      </c>
      <c r="AF59" t="s">
        <v>260</v>
      </c>
      <c r="AG59" t="s">
        <v>101</v>
      </c>
      <c r="AH59" t="s">
        <v>262</v>
      </c>
      <c r="AI59" t="s">
        <v>103</v>
      </c>
      <c r="AJ59" t="s">
        <v>104</v>
      </c>
      <c r="AK59">
        <v>14</v>
      </c>
      <c r="AL59">
        <v>26</v>
      </c>
      <c r="AM59" t="s">
        <v>105</v>
      </c>
      <c r="AN59" t="s">
        <v>106</v>
      </c>
      <c r="AO59">
        <v>31.794166666700001</v>
      </c>
      <c r="AP59">
        <v>-96.063055555600002</v>
      </c>
      <c r="AQ59">
        <v>106</v>
      </c>
      <c r="AR59" t="s">
        <v>107</v>
      </c>
      <c r="AS59">
        <v>2002</v>
      </c>
      <c r="AW59" t="s">
        <v>269</v>
      </c>
      <c r="AX59">
        <v>26</v>
      </c>
      <c r="AY59" t="s">
        <v>134</v>
      </c>
      <c r="AZ59" t="s">
        <v>109</v>
      </c>
      <c r="BA59" t="s">
        <v>138</v>
      </c>
      <c r="BB59">
        <v>26</v>
      </c>
      <c r="BC59">
        <v>32</v>
      </c>
      <c r="BD59">
        <v>1</v>
      </c>
      <c r="BE59" t="s">
        <v>111</v>
      </c>
      <c r="BG59">
        <f t="shared" si="2"/>
        <v>0.2</v>
      </c>
      <c r="BP59">
        <v>12</v>
      </c>
      <c r="BS59" t="s">
        <v>265</v>
      </c>
      <c r="BU59" t="s">
        <v>280</v>
      </c>
      <c r="BV59">
        <v>40.4</v>
      </c>
      <c r="BW59">
        <v>0.24</v>
      </c>
      <c r="BX59">
        <v>8</v>
      </c>
      <c r="BY59">
        <v>39.9</v>
      </c>
      <c r="BZ59">
        <v>0.2</v>
      </c>
      <c r="CA59">
        <v>8</v>
      </c>
      <c r="CB59" t="s">
        <v>113</v>
      </c>
      <c r="CC59" t="s">
        <v>267</v>
      </c>
    </row>
    <row r="60" spans="1:81" x14ac:dyDescent="0.25">
      <c r="A60" t="s">
        <v>81</v>
      </c>
      <c r="B60">
        <v>59</v>
      </c>
      <c r="C60">
        <v>11</v>
      </c>
      <c r="D60">
        <v>12</v>
      </c>
      <c r="E60">
        <v>12</v>
      </c>
      <c r="F60">
        <v>11</v>
      </c>
      <c r="G60">
        <v>32</v>
      </c>
      <c r="H60">
        <v>50</v>
      </c>
      <c r="I60" t="s">
        <v>249</v>
      </c>
      <c r="J60" t="s">
        <v>143</v>
      </c>
      <c r="M60" t="s">
        <v>85</v>
      </c>
      <c r="O60" t="s">
        <v>250</v>
      </c>
      <c r="P60" t="s">
        <v>251</v>
      </c>
      <c r="Q60" t="s">
        <v>252</v>
      </c>
      <c r="R60">
        <v>2005</v>
      </c>
      <c r="S60" t="s">
        <v>253</v>
      </c>
      <c r="T60">
        <v>3</v>
      </c>
      <c r="V60" t="s">
        <v>254</v>
      </c>
      <c r="W60" t="s">
        <v>91</v>
      </c>
      <c r="X60" t="s">
        <v>126</v>
      </c>
      <c r="Y60" t="s">
        <v>255</v>
      </c>
      <c r="Z60" t="s">
        <v>256</v>
      </c>
      <c r="AA60" t="s">
        <v>257</v>
      </c>
      <c r="AB60" t="s">
        <v>258</v>
      </c>
      <c r="AC60" t="s">
        <v>259</v>
      </c>
      <c r="AD60" t="s">
        <v>132</v>
      </c>
      <c r="AE60" t="s">
        <v>133</v>
      </c>
      <c r="AF60" t="s">
        <v>260</v>
      </c>
      <c r="AG60" t="s">
        <v>101</v>
      </c>
      <c r="AH60" t="s">
        <v>262</v>
      </c>
      <c r="AI60" t="s">
        <v>103</v>
      </c>
      <c r="AJ60" t="s">
        <v>104</v>
      </c>
      <c r="AK60">
        <v>14</v>
      </c>
      <c r="AL60">
        <v>26</v>
      </c>
      <c r="AM60" t="s">
        <v>105</v>
      </c>
      <c r="AN60" t="s">
        <v>106</v>
      </c>
      <c r="AO60">
        <v>31.794166666700001</v>
      </c>
      <c r="AP60">
        <v>-96.063055555600002</v>
      </c>
      <c r="AQ60">
        <v>106</v>
      </c>
      <c r="AR60" t="s">
        <v>107</v>
      </c>
      <c r="AS60">
        <v>2002</v>
      </c>
      <c r="AW60" t="s">
        <v>269</v>
      </c>
      <c r="AX60">
        <v>26</v>
      </c>
      <c r="AY60" t="s">
        <v>134</v>
      </c>
      <c r="AZ60" t="s">
        <v>109</v>
      </c>
      <c r="BA60" t="s">
        <v>138</v>
      </c>
      <c r="BB60">
        <v>20</v>
      </c>
      <c r="BC60">
        <v>26</v>
      </c>
      <c r="BD60">
        <v>1</v>
      </c>
      <c r="BE60" t="s">
        <v>111</v>
      </c>
      <c r="BG60">
        <f t="shared" si="2"/>
        <v>0.2</v>
      </c>
      <c r="BP60">
        <v>12</v>
      </c>
      <c r="BS60" t="s">
        <v>265</v>
      </c>
      <c r="BU60" t="s">
        <v>281</v>
      </c>
      <c r="BV60">
        <v>39.9</v>
      </c>
      <c r="BW60">
        <v>0.2</v>
      </c>
      <c r="BX60">
        <v>8</v>
      </c>
      <c r="BY60">
        <v>39.1</v>
      </c>
      <c r="BZ60">
        <v>0.26</v>
      </c>
      <c r="CA60">
        <v>8</v>
      </c>
      <c r="CB60" t="s">
        <v>113</v>
      </c>
      <c r="CC60" t="s">
        <v>267</v>
      </c>
    </row>
    <row r="61" spans="1:81" x14ac:dyDescent="0.25">
      <c r="A61" t="s">
        <v>81</v>
      </c>
      <c r="B61">
        <v>60</v>
      </c>
      <c r="C61">
        <v>11</v>
      </c>
      <c r="D61">
        <v>12</v>
      </c>
      <c r="E61">
        <v>12</v>
      </c>
      <c r="F61">
        <v>11</v>
      </c>
      <c r="G61">
        <v>32</v>
      </c>
      <c r="H61">
        <v>51</v>
      </c>
      <c r="I61" t="s">
        <v>249</v>
      </c>
      <c r="J61" t="s">
        <v>143</v>
      </c>
      <c r="M61" t="s">
        <v>85</v>
      </c>
      <c r="O61" t="s">
        <v>250</v>
      </c>
      <c r="P61" t="s">
        <v>251</v>
      </c>
      <c r="Q61" t="s">
        <v>252</v>
      </c>
      <c r="R61">
        <v>2005</v>
      </c>
      <c r="S61" t="s">
        <v>253</v>
      </c>
      <c r="T61">
        <v>3</v>
      </c>
      <c r="V61" t="s">
        <v>254</v>
      </c>
      <c r="W61" t="s">
        <v>91</v>
      </c>
      <c r="X61" t="s">
        <v>126</v>
      </c>
      <c r="Y61" t="s">
        <v>255</v>
      </c>
      <c r="Z61" t="s">
        <v>256</v>
      </c>
      <c r="AA61" t="s">
        <v>257</v>
      </c>
      <c r="AB61" t="s">
        <v>258</v>
      </c>
      <c r="AC61" t="s">
        <v>259</v>
      </c>
      <c r="AD61" t="s">
        <v>132</v>
      </c>
      <c r="AE61" t="s">
        <v>133</v>
      </c>
      <c r="AF61" t="s">
        <v>260</v>
      </c>
      <c r="AG61" t="s">
        <v>101</v>
      </c>
      <c r="AH61" t="s">
        <v>262</v>
      </c>
      <c r="AI61" t="s">
        <v>103</v>
      </c>
      <c r="AJ61" t="s">
        <v>104</v>
      </c>
      <c r="AK61">
        <v>14</v>
      </c>
      <c r="AL61">
        <v>26</v>
      </c>
      <c r="AM61" t="s">
        <v>105</v>
      </c>
      <c r="AN61" t="s">
        <v>106</v>
      </c>
      <c r="AO61">
        <v>31.794166666700001</v>
      </c>
      <c r="AP61">
        <v>-96.063055555600002</v>
      </c>
      <c r="AQ61">
        <v>106</v>
      </c>
      <c r="AR61" t="s">
        <v>107</v>
      </c>
      <c r="AS61">
        <v>2002</v>
      </c>
      <c r="AW61" t="s">
        <v>269</v>
      </c>
      <c r="AX61">
        <v>26</v>
      </c>
      <c r="AY61" t="s">
        <v>134</v>
      </c>
      <c r="AZ61" t="s">
        <v>109</v>
      </c>
      <c r="BA61" t="s">
        <v>138</v>
      </c>
      <c r="BB61">
        <v>26</v>
      </c>
      <c r="BC61">
        <v>32</v>
      </c>
      <c r="BD61">
        <v>1</v>
      </c>
      <c r="BE61" t="s">
        <v>111</v>
      </c>
      <c r="BG61">
        <f t="shared" si="2"/>
        <v>0.2</v>
      </c>
      <c r="BP61">
        <v>12</v>
      </c>
      <c r="BS61" t="s">
        <v>265</v>
      </c>
      <c r="BU61" t="s">
        <v>282</v>
      </c>
      <c r="BV61">
        <v>39.6</v>
      </c>
      <c r="BW61">
        <v>0.25</v>
      </c>
      <c r="BX61">
        <v>8</v>
      </c>
      <c r="BY61">
        <v>40.4</v>
      </c>
      <c r="BZ61">
        <v>0.21</v>
      </c>
      <c r="CA61">
        <v>8</v>
      </c>
      <c r="CB61" t="s">
        <v>113</v>
      </c>
      <c r="CC61" t="s">
        <v>267</v>
      </c>
    </row>
    <row r="62" spans="1:81" x14ac:dyDescent="0.25">
      <c r="A62" t="s">
        <v>81</v>
      </c>
      <c r="B62">
        <v>61</v>
      </c>
      <c r="C62">
        <v>11</v>
      </c>
      <c r="D62">
        <v>12</v>
      </c>
      <c r="E62">
        <v>12</v>
      </c>
      <c r="F62">
        <v>11</v>
      </c>
      <c r="G62">
        <v>32</v>
      </c>
      <c r="H62">
        <v>52</v>
      </c>
      <c r="I62" t="s">
        <v>249</v>
      </c>
      <c r="J62" t="s">
        <v>143</v>
      </c>
      <c r="M62" t="s">
        <v>85</v>
      </c>
      <c r="O62" t="s">
        <v>250</v>
      </c>
      <c r="P62" t="s">
        <v>251</v>
      </c>
      <c r="Q62" t="s">
        <v>252</v>
      </c>
      <c r="R62">
        <v>2005</v>
      </c>
      <c r="S62" t="s">
        <v>253</v>
      </c>
      <c r="T62">
        <v>3</v>
      </c>
      <c r="V62" t="s">
        <v>254</v>
      </c>
      <c r="W62" t="s">
        <v>91</v>
      </c>
      <c r="X62" t="s">
        <v>126</v>
      </c>
      <c r="Y62" t="s">
        <v>255</v>
      </c>
      <c r="Z62" t="s">
        <v>256</v>
      </c>
      <c r="AA62" t="s">
        <v>257</v>
      </c>
      <c r="AB62" t="s">
        <v>258</v>
      </c>
      <c r="AC62" t="s">
        <v>259</v>
      </c>
      <c r="AD62" t="s">
        <v>132</v>
      </c>
      <c r="AE62" t="s">
        <v>133</v>
      </c>
      <c r="AF62" t="s">
        <v>260</v>
      </c>
      <c r="AG62" t="s">
        <v>101</v>
      </c>
      <c r="AH62" t="s">
        <v>262</v>
      </c>
      <c r="AI62" t="s">
        <v>103</v>
      </c>
      <c r="AJ62" t="s">
        <v>104</v>
      </c>
      <c r="AK62">
        <v>14</v>
      </c>
      <c r="AL62">
        <v>26</v>
      </c>
      <c r="AM62" t="s">
        <v>105</v>
      </c>
      <c r="AN62" t="s">
        <v>106</v>
      </c>
      <c r="AO62">
        <v>31.794166666700001</v>
      </c>
      <c r="AP62">
        <v>-96.063055555600002</v>
      </c>
      <c r="AQ62">
        <v>106</v>
      </c>
      <c r="AR62" t="s">
        <v>107</v>
      </c>
      <c r="AS62">
        <v>2002</v>
      </c>
      <c r="AW62" t="s">
        <v>269</v>
      </c>
      <c r="AX62">
        <v>26</v>
      </c>
      <c r="AY62" t="s">
        <v>134</v>
      </c>
      <c r="AZ62" t="s">
        <v>109</v>
      </c>
      <c r="BA62" t="s">
        <v>138</v>
      </c>
      <c r="BB62">
        <v>26</v>
      </c>
      <c r="BC62">
        <v>32</v>
      </c>
      <c r="BD62">
        <v>1</v>
      </c>
      <c r="BE62" t="s">
        <v>111</v>
      </c>
      <c r="BG62">
        <f t="shared" si="2"/>
        <v>0.2</v>
      </c>
      <c r="BP62">
        <v>12</v>
      </c>
      <c r="BS62" t="s">
        <v>265</v>
      </c>
      <c r="BU62" t="s">
        <v>283</v>
      </c>
      <c r="BV62">
        <v>40.4</v>
      </c>
      <c r="BW62">
        <v>0.21</v>
      </c>
      <c r="BX62">
        <v>8</v>
      </c>
      <c r="BY62">
        <v>39.4</v>
      </c>
      <c r="BZ62">
        <v>0.19</v>
      </c>
      <c r="CA62">
        <v>8</v>
      </c>
      <c r="CB62" t="s">
        <v>113</v>
      </c>
      <c r="CC62" t="s">
        <v>267</v>
      </c>
    </row>
    <row r="63" spans="1:81" x14ac:dyDescent="0.25">
      <c r="A63" t="s">
        <v>81</v>
      </c>
      <c r="B63">
        <v>62</v>
      </c>
      <c r="C63">
        <v>13</v>
      </c>
      <c r="D63">
        <v>14</v>
      </c>
      <c r="E63">
        <v>13</v>
      </c>
      <c r="F63">
        <v>12</v>
      </c>
      <c r="G63">
        <v>33</v>
      </c>
      <c r="H63">
        <v>53</v>
      </c>
      <c r="I63" t="s">
        <v>284</v>
      </c>
      <c r="J63" t="s">
        <v>285</v>
      </c>
      <c r="L63" t="s">
        <v>286</v>
      </c>
      <c r="M63" t="s">
        <v>85</v>
      </c>
      <c r="O63" t="s">
        <v>14</v>
      </c>
      <c r="P63" t="s">
        <v>287</v>
      </c>
      <c r="Q63" t="s">
        <v>288</v>
      </c>
      <c r="R63">
        <v>2020</v>
      </c>
      <c r="S63" t="s">
        <v>289</v>
      </c>
      <c r="U63" t="s">
        <v>290</v>
      </c>
      <c r="V63" t="s">
        <v>291</v>
      </c>
      <c r="W63" t="s">
        <v>91</v>
      </c>
      <c r="X63" t="s">
        <v>126</v>
      </c>
      <c r="Y63" t="s">
        <v>292</v>
      </c>
      <c r="Z63" t="s">
        <v>293</v>
      </c>
      <c r="AA63" t="s">
        <v>294</v>
      </c>
      <c r="AB63" t="s">
        <v>295</v>
      </c>
      <c r="AC63" t="s">
        <v>296</v>
      </c>
      <c r="AD63" t="s">
        <v>132</v>
      </c>
      <c r="AE63" t="s">
        <v>133</v>
      </c>
      <c r="AF63" t="s">
        <v>100</v>
      </c>
      <c r="AG63" t="s">
        <v>102</v>
      </c>
      <c r="AH63" t="s">
        <v>102</v>
      </c>
      <c r="AI63" t="s">
        <v>134</v>
      </c>
      <c r="AJ63" t="s">
        <v>135</v>
      </c>
      <c r="AM63" t="s">
        <v>136</v>
      </c>
      <c r="AN63" t="s">
        <v>297</v>
      </c>
      <c r="AO63">
        <v>50.2977777778</v>
      </c>
      <c r="AP63">
        <v>-95.547499999999999</v>
      </c>
      <c r="AQ63">
        <v>290</v>
      </c>
      <c r="AR63" t="s">
        <v>107</v>
      </c>
      <c r="AS63">
        <v>2019</v>
      </c>
      <c r="AT63">
        <f>(53.2+57.5)/2</f>
        <v>55.35</v>
      </c>
      <c r="AU63">
        <f>(0.49+0.68)/2</f>
        <v>0.58499999999999996</v>
      </c>
      <c r="AV63">
        <v>60</v>
      </c>
      <c r="AW63" t="s">
        <v>108</v>
      </c>
      <c r="AX63">
        <v>16</v>
      </c>
      <c r="AY63" t="s">
        <v>134</v>
      </c>
      <c r="AZ63" t="s">
        <v>109</v>
      </c>
      <c r="BA63" t="s">
        <v>110</v>
      </c>
      <c r="BB63">
        <v>16</v>
      </c>
      <c r="BC63">
        <v>20</v>
      </c>
      <c r="BE63" t="s">
        <v>139</v>
      </c>
      <c r="BF63">
        <v>30</v>
      </c>
      <c r="BG63">
        <v>0.3</v>
      </c>
      <c r="BR63" t="s">
        <v>69</v>
      </c>
      <c r="BS63" t="s">
        <v>265</v>
      </c>
      <c r="BU63" t="s">
        <v>298</v>
      </c>
      <c r="BV63">
        <v>32.312959999999997</v>
      </c>
      <c r="BW63">
        <v>0.35923179999999999</v>
      </c>
      <c r="BX63">
        <v>24</v>
      </c>
      <c r="BY63">
        <v>34.61007</v>
      </c>
      <c r="BZ63">
        <v>0.49983270000000002</v>
      </c>
      <c r="CA63">
        <v>24</v>
      </c>
      <c r="CB63" t="s">
        <v>113</v>
      </c>
      <c r="CC63" t="s">
        <v>299</v>
      </c>
    </row>
    <row r="64" spans="1:81" x14ac:dyDescent="0.25">
      <c r="A64" t="s">
        <v>81</v>
      </c>
      <c r="B64">
        <v>63</v>
      </c>
      <c r="C64">
        <v>13</v>
      </c>
      <c r="D64">
        <v>14</v>
      </c>
      <c r="E64">
        <v>13</v>
      </c>
      <c r="F64">
        <v>12</v>
      </c>
      <c r="G64">
        <v>33</v>
      </c>
      <c r="H64">
        <v>54</v>
      </c>
      <c r="I64" t="s">
        <v>284</v>
      </c>
      <c r="J64" t="s">
        <v>285</v>
      </c>
      <c r="L64" t="s">
        <v>286</v>
      </c>
      <c r="M64" t="s">
        <v>85</v>
      </c>
      <c r="O64" t="s">
        <v>14</v>
      </c>
      <c r="P64" t="s">
        <v>287</v>
      </c>
      <c r="Q64" t="s">
        <v>288</v>
      </c>
      <c r="R64">
        <v>2020</v>
      </c>
      <c r="S64" t="s">
        <v>289</v>
      </c>
      <c r="U64" t="s">
        <v>290</v>
      </c>
      <c r="V64" t="s">
        <v>291</v>
      </c>
      <c r="W64" t="s">
        <v>91</v>
      </c>
      <c r="X64" t="s">
        <v>126</v>
      </c>
      <c r="Y64" t="s">
        <v>292</v>
      </c>
      <c r="Z64" t="s">
        <v>293</v>
      </c>
      <c r="AA64" t="s">
        <v>294</v>
      </c>
      <c r="AB64" t="s">
        <v>295</v>
      </c>
      <c r="AC64" t="s">
        <v>296</v>
      </c>
      <c r="AD64" t="s">
        <v>132</v>
      </c>
      <c r="AE64" t="s">
        <v>133</v>
      </c>
      <c r="AF64" t="s">
        <v>100</v>
      </c>
      <c r="AG64" t="s">
        <v>102</v>
      </c>
      <c r="AH64" t="s">
        <v>102</v>
      </c>
      <c r="AI64" t="s">
        <v>134</v>
      </c>
      <c r="AJ64" t="s">
        <v>135</v>
      </c>
      <c r="AM64" t="s">
        <v>136</v>
      </c>
      <c r="AN64" t="s">
        <v>297</v>
      </c>
      <c r="AO64">
        <v>50.2977777778</v>
      </c>
      <c r="AP64">
        <v>-95.547499999999999</v>
      </c>
      <c r="AQ64">
        <v>290</v>
      </c>
      <c r="AR64" t="s">
        <v>107</v>
      </c>
      <c r="AS64">
        <v>2019</v>
      </c>
      <c r="AT64">
        <f>(57.5+65.4)/2</f>
        <v>61.45</v>
      </c>
      <c r="AU64">
        <f>(0.68+0.9)/2</f>
        <v>0.79</v>
      </c>
      <c r="AV64">
        <v>60</v>
      </c>
      <c r="AW64" t="s">
        <v>108</v>
      </c>
      <c r="AX64">
        <v>16</v>
      </c>
      <c r="AY64" t="s">
        <v>103</v>
      </c>
      <c r="AZ64" t="s">
        <v>109</v>
      </c>
      <c r="BA64" t="s">
        <v>110</v>
      </c>
      <c r="BB64">
        <v>20</v>
      </c>
      <c r="BC64">
        <v>24</v>
      </c>
      <c r="BE64" t="s">
        <v>139</v>
      </c>
      <c r="BF64">
        <v>30</v>
      </c>
      <c r="BG64">
        <v>0.3</v>
      </c>
      <c r="BR64" t="s">
        <v>69</v>
      </c>
      <c r="BU64" t="s">
        <v>300</v>
      </c>
      <c r="BV64">
        <v>34.61007</v>
      </c>
      <c r="BW64">
        <v>0.49983270000000002</v>
      </c>
      <c r="BX64">
        <v>24</v>
      </c>
      <c r="BY64">
        <v>35.354840000000003</v>
      </c>
      <c r="BZ64">
        <v>1.353437</v>
      </c>
      <c r="CA64">
        <v>32</v>
      </c>
      <c r="CB64" t="s">
        <v>113</v>
      </c>
      <c r="CC64" t="s">
        <v>299</v>
      </c>
    </row>
    <row r="65" spans="1:81" x14ac:dyDescent="0.25">
      <c r="A65" t="s">
        <v>81</v>
      </c>
      <c r="B65">
        <v>64</v>
      </c>
      <c r="C65">
        <v>13</v>
      </c>
      <c r="D65">
        <v>14</v>
      </c>
      <c r="E65">
        <v>14</v>
      </c>
      <c r="F65">
        <v>13</v>
      </c>
      <c r="G65">
        <v>34</v>
      </c>
      <c r="H65">
        <v>55</v>
      </c>
      <c r="I65" t="s">
        <v>284</v>
      </c>
      <c r="J65" t="s">
        <v>285</v>
      </c>
      <c r="L65" t="s">
        <v>286</v>
      </c>
      <c r="M65" t="s">
        <v>85</v>
      </c>
      <c r="O65" t="s">
        <v>14</v>
      </c>
      <c r="P65" t="s">
        <v>287</v>
      </c>
      <c r="Q65" t="s">
        <v>288</v>
      </c>
      <c r="R65">
        <v>2020</v>
      </c>
      <c r="S65" t="s">
        <v>289</v>
      </c>
      <c r="U65" t="s">
        <v>290</v>
      </c>
      <c r="V65" t="s">
        <v>291</v>
      </c>
      <c r="W65" t="s">
        <v>91</v>
      </c>
      <c r="X65" t="s">
        <v>126</v>
      </c>
      <c r="Y65" t="s">
        <v>292</v>
      </c>
      <c r="Z65" t="s">
        <v>293</v>
      </c>
      <c r="AA65" t="s">
        <v>294</v>
      </c>
      <c r="AB65" t="s">
        <v>295</v>
      </c>
      <c r="AC65" t="s">
        <v>296</v>
      </c>
      <c r="AD65" t="s">
        <v>132</v>
      </c>
      <c r="AE65" t="s">
        <v>133</v>
      </c>
      <c r="AF65" t="s">
        <v>100</v>
      </c>
      <c r="AG65" t="s">
        <v>102</v>
      </c>
      <c r="AH65" t="s">
        <v>102</v>
      </c>
      <c r="AI65" t="s">
        <v>134</v>
      </c>
      <c r="AJ65" t="s">
        <v>135</v>
      </c>
      <c r="AM65" t="s">
        <v>136</v>
      </c>
      <c r="AN65" t="s">
        <v>297</v>
      </c>
      <c r="AO65">
        <v>56.046250000000001</v>
      </c>
      <c r="AP65">
        <v>-96.905166666699998</v>
      </c>
      <c r="AQ65">
        <v>170</v>
      </c>
      <c r="AR65" t="s">
        <v>107</v>
      </c>
      <c r="AS65">
        <v>2019</v>
      </c>
      <c r="AT65">
        <f>(55.9+66.3)/2</f>
        <v>61.099999999999994</v>
      </c>
      <c r="AU65">
        <f>(0.62+0.92)/2</f>
        <v>0.77</v>
      </c>
      <c r="AV65">
        <v>60</v>
      </c>
      <c r="AW65" t="s">
        <v>108</v>
      </c>
      <c r="AX65">
        <v>16</v>
      </c>
      <c r="AY65" t="s">
        <v>134</v>
      </c>
      <c r="AZ65" t="s">
        <v>109</v>
      </c>
      <c r="BA65" t="s">
        <v>110</v>
      </c>
      <c r="BB65">
        <v>16</v>
      </c>
      <c r="BC65">
        <v>20</v>
      </c>
      <c r="BE65" t="s">
        <v>139</v>
      </c>
      <c r="BF65">
        <v>30</v>
      </c>
      <c r="BG65">
        <v>0.3</v>
      </c>
      <c r="BR65" t="s">
        <v>69</v>
      </c>
      <c r="BS65" t="s">
        <v>265</v>
      </c>
      <c r="BU65" t="s">
        <v>301</v>
      </c>
      <c r="BV65">
        <v>32.196939999999998</v>
      </c>
      <c r="BW65">
        <v>0.63797740000000003</v>
      </c>
      <c r="BX65">
        <v>24</v>
      </c>
      <c r="BY65">
        <v>33.900959999999998</v>
      </c>
      <c r="BZ65">
        <v>0.73631679999999999</v>
      </c>
      <c r="CA65">
        <v>24</v>
      </c>
      <c r="CB65" t="s">
        <v>113</v>
      </c>
      <c r="CC65" t="s">
        <v>299</v>
      </c>
    </row>
    <row r="66" spans="1:81" x14ac:dyDescent="0.25">
      <c r="A66" t="s">
        <v>81</v>
      </c>
      <c r="B66">
        <v>65</v>
      </c>
      <c r="C66">
        <v>13</v>
      </c>
      <c r="D66">
        <v>14</v>
      </c>
      <c r="E66">
        <v>14</v>
      </c>
      <c r="F66">
        <v>13</v>
      </c>
      <c r="G66">
        <v>34</v>
      </c>
      <c r="H66">
        <v>56</v>
      </c>
      <c r="I66" t="s">
        <v>284</v>
      </c>
      <c r="J66" t="s">
        <v>285</v>
      </c>
      <c r="L66" t="s">
        <v>286</v>
      </c>
      <c r="M66" t="s">
        <v>85</v>
      </c>
      <c r="O66" t="s">
        <v>14</v>
      </c>
      <c r="P66" t="s">
        <v>287</v>
      </c>
      <c r="Q66" t="s">
        <v>288</v>
      </c>
      <c r="R66">
        <v>2020</v>
      </c>
      <c r="S66" t="s">
        <v>289</v>
      </c>
      <c r="U66" t="s">
        <v>290</v>
      </c>
      <c r="V66" t="s">
        <v>291</v>
      </c>
      <c r="W66" t="s">
        <v>91</v>
      </c>
      <c r="X66" t="s">
        <v>126</v>
      </c>
      <c r="Y66" t="s">
        <v>292</v>
      </c>
      <c r="Z66" t="s">
        <v>293</v>
      </c>
      <c r="AA66" t="s">
        <v>294</v>
      </c>
      <c r="AB66" t="s">
        <v>295</v>
      </c>
      <c r="AC66" t="s">
        <v>296</v>
      </c>
      <c r="AD66" t="s">
        <v>132</v>
      </c>
      <c r="AE66" t="s">
        <v>133</v>
      </c>
      <c r="AF66" t="s">
        <v>100</v>
      </c>
      <c r="AG66" t="s">
        <v>102</v>
      </c>
      <c r="AH66" t="s">
        <v>102</v>
      </c>
      <c r="AI66" t="s">
        <v>134</v>
      </c>
      <c r="AJ66" t="s">
        <v>135</v>
      </c>
      <c r="AM66" t="s">
        <v>136</v>
      </c>
      <c r="AN66" t="s">
        <v>297</v>
      </c>
      <c r="AO66">
        <v>56.046250000000001</v>
      </c>
      <c r="AP66">
        <v>-96.905166666699998</v>
      </c>
      <c r="AQ66">
        <v>170</v>
      </c>
      <c r="AR66" t="s">
        <v>107</v>
      </c>
      <c r="AS66">
        <v>2019</v>
      </c>
      <c r="AT66">
        <f>(66.3+66.9)/2</f>
        <v>66.599999999999994</v>
      </c>
      <c r="AU66">
        <f>(0.92+0.91)/2</f>
        <v>0.91500000000000004</v>
      </c>
      <c r="AV66">
        <v>60</v>
      </c>
      <c r="AW66" t="s">
        <v>108</v>
      </c>
      <c r="AX66">
        <v>16</v>
      </c>
      <c r="AY66" t="s">
        <v>103</v>
      </c>
      <c r="AZ66" t="s">
        <v>109</v>
      </c>
      <c r="BA66" t="s">
        <v>110</v>
      </c>
      <c r="BB66">
        <v>20</v>
      </c>
      <c r="BC66">
        <v>24</v>
      </c>
      <c r="BE66" t="s">
        <v>139</v>
      </c>
      <c r="BF66">
        <v>30</v>
      </c>
      <c r="BG66">
        <v>0.3</v>
      </c>
      <c r="BR66" t="s">
        <v>69</v>
      </c>
      <c r="BU66" t="s">
        <v>302</v>
      </c>
      <c r="BV66">
        <v>33.900959999999998</v>
      </c>
      <c r="BW66">
        <v>0.73631679999999999</v>
      </c>
      <c r="BX66">
        <v>24</v>
      </c>
      <c r="BY66">
        <v>34.903230000000001</v>
      </c>
      <c r="BZ66">
        <v>0.61703589999999997</v>
      </c>
      <c r="CA66">
        <v>23</v>
      </c>
      <c r="CB66" t="s">
        <v>113</v>
      </c>
      <c r="CC66" t="s">
        <v>299</v>
      </c>
    </row>
    <row r="67" spans="1:81" x14ac:dyDescent="0.25">
      <c r="A67" t="s">
        <v>81</v>
      </c>
      <c r="B67">
        <v>66</v>
      </c>
      <c r="C67">
        <v>14</v>
      </c>
      <c r="D67">
        <v>15</v>
      </c>
      <c r="E67">
        <v>15</v>
      </c>
      <c r="F67">
        <v>14</v>
      </c>
      <c r="G67">
        <v>35</v>
      </c>
      <c r="H67">
        <v>57</v>
      </c>
      <c r="I67" t="s">
        <v>303</v>
      </c>
      <c r="J67" t="s">
        <v>304</v>
      </c>
      <c r="L67" t="s">
        <v>305</v>
      </c>
      <c r="M67" t="s">
        <v>85</v>
      </c>
      <c r="O67" t="s">
        <v>14</v>
      </c>
      <c r="P67" t="s">
        <v>306</v>
      </c>
      <c r="Q67" t="s">
        <v>307</v>
      </c>
      <c r="R67">
        <v>2020</v>
      </c>
      <c r="S67" t="s">
        <v>308</v>
      </c>
      <c r="U67" t="s">
        <v>309</v>
      </c>
      <c r="V67" t="s">
        <v>310</v>
      </c>
      <c r="W67" t="s">
        <v>170</v>
      </c>
      <c r="X67" t="s">
        <v>171</v>
      </c>
      <c r="Y67" t="s">
        <v>311</v>
      </c>
      <c r="Z67" t="s">
        <v>312</v>
      </c>
      <c r="AA67" t="s">
        <v>313</v>
      </c>
      <c r="AB67" t="s">
        <v>314</v>
      </c>
      <c r="AC67" t="s">
        <v>315</v>
      </c>
      <c r="AD67" t="s">
        <v>132</v>
      </c>
      <c r="AE67" t="s">
        <v>316</v>
      </c>
      <c r="AF67" t="s">
        <v>100</v>
      </c>
      <c r="AG67" t="s">
        <v>102</v>
      </c>
      <c r="AH67" t="s">
        <v>102</v>
      </c>
      <c r="AI67" t="s">
        <v>134</v>
      </c>
      <c r="AJ67" t="s">
        <v>135</v>
      </c>
      <c r="AM67" t="s">
        <v>136</v>
      </c>
      <c r="AN67" t="s">
        <v>106</v>
      </c>
      <c r="AO67">
        <f>(43.631975+43.462503+43.731066)/3</f>
        <v>43.608514666666657</v>
      </c>
      <c r="AP67">
        <f>(4.785667+5.328927+5.747532)/3</f>
        <v>5.2873753333333333</v>
      </c>
      <c r="AQ67">
        <f>(15+150+250)</f>
        <v>415</v>
      </c>
      <c r="AR67" t="s">
        <v>317</v>
      </c>
      <c r="AW67" t="s">
        <v>108</v>
      </c>
      <c r="AX67">
        <v>22</v>
      </c>
      <c r="AY67" t="s">
        <v>103</v>
      </c>
      <c r="AZ67" t="s">
        <v>109</v>
      </c>
      <c r="BA67" t="s">
        <v>180</v>
      </c>
      <c r="BB67">
        <v>16</v>
      </c>
      <c r="BC67">
        <v>20</v>
      </c>
      <c r="BE67" t="s">
        <v>139</v>
      </c>
      <c r="BG67">
        <v>0.3</v>
      </c>
      <c r="BP67">
        <v>14</v>
      </c>
      <c r="BU67" t="s">
        <v>318</v>
      </c>
      <c r="BV67">
        <v>44.168579999999999</v>
      </c>
      <c r="BW67">
        <v>0.99681310000000001</v>
      </c>
      <c r="BX67">
        <v>30</v>
      </c>
      <c r="BY67">
        <v>44.206899999999997</v>
      </c>
      <c r="BZ67">
        <v>1.8362346000000001</v>
      </c>
      <c r="CA67">
        <v>30</v>
      </c>
      <c r="CB67" t="s">
        <v>113</v>
      </c>
      <c r="CC67" t="s">
        <v>319</v>
      </c>
    </row>
    <row r="68" spans="1:81" x14ac:dyDescent="0.25">
      <c r="A68" t="s">
        <v>81</v>
      </c>
      <c r="B68">
        <v>67</v>
      </c>
      <c r="C68">
        <v>14</v>
      </c>
      <c r="D68">
        <v>15</v>
      </c>
      <c r="E68">
        <v>15</v>
      </c>
      <c r="F68">
        <v>14</v>
      </c>
      <c r="G68">
        <v>35</v>
      </c>
      <c r="H68">
        <v>58</v>
      </c>
      <c r="I68" t="s">
        <v>303</v>
      </c>
      <c r="J68" t="s">
        <v>304</v>
      </c>
      <c r="L68" t="s">
        <v>305</v>
      </c>
      <c r="M68" t="s">
        <v>85</v>
      </c>
      <c r="O68" t="s">
        <v>14</v>
      </c>
      <c r="P68" t="s">
        <v>306</v>
      </c>
      <c r="Q68" t="s">
        <v>307</v>
      </c>
      <c r="R68">
        <v>2020</v>
      </c>
      <c r="S68" t="s">
        <v>308</v>
      </c>
      <c r="U68" t="s">
        <v>309</v>
      </c>
      <c r="V68" t="s">
        <v>310</v>
      </c>
      <c r="W68" t="s">
        <v>170</v>
      </c>
      <c r="X68" t="s">
        <v>171</v>
      </c>
      <c r="Y68" t="s">
        <v>311</v>
      </c>
      <c r="Z68" t="s">
        <v>312</v>
      </c>
      <c r="AA68" t="s">
        <v>313</v>
      </c>
      <c r="AB68" t="s">
        <v>314</v>
      </c>
      <c r="AC68" t="s">
        <v>315</v>
      </c>
      <c r="AD68" t="s">
        <v>132</v>
      </c>
      <c r="AE68" t="s">
        <v>316</v>
      </c>
      <c r="AF68" t="s">
        <v>100</v>
      </c>
      <c r="AG68" t="s">
        <v>102</v>
      </c>
      <c r="AH68" t="s">
        <v>102</v>
      </c>
      <c r="AI68" t="s">
        <v>134</v>
      </c>
      <c r="AJ68" t="s">
        <v>135</v>
      </c>
      <c r="AM68" t="s">
        <v>136</v>
      </c>
      <c r="AN68" t="s">
        <v>106</v>
      </c>
      <c r="AO68">
        <f>(43.631975+43.462503+43.731066)/3</f>
        <v>43.608514666666657</v>
      </c>
      <c r="AP68">
        <f>(4.785667+5.328927+5.747532)/3</f>
        <v>5.2873753333333333</v>
      </c>
      <c r="AQ68">
        <f>(15+150+250)</f>
        <v>415</v>
      </c>
      <c r="AR68" t="s">
        <v>317</v>
      </c>
      <c r="AW68" t="s">
        <v>108</v>
      </c>
      <c r="AX68">
        <v>22</v>
      </c>
      <c r="AY68" t="s">
        <v>103</v>
      </c>
      <c r="AZ68" t="s">
        <v>109</v>
      </c>
      <c r="BA68" t="s">
        <v>180</v>
      </c>
      <c r="BB68">
        <v>20</v>
      </c>
      <c r="BC68">
        <v>24</v>
      </c>
      <c r="BE68" t="s">
        <v>139</v>
      </c>
      <c r="BG68">
        <v>0.3</v>
      </c>
      <c r="BP68">
        <v>14</v>
      </c>
      <c r="BU68" t="s">
        <v>318</v>
      </c>
      <c r="BV68">
        <v>44.206899999999997</v>
      </c>
      <c r="BW68">
        <v>1.8362346000000001</v>
      </c>
      <c r="BX68">
        <v>30</v>
      </c>
      <c r="BY68">
        <v>44.68582</v>
      </c>
      <c r="BZ68">
        <v>1.7837708000000001</v>
      </c>
      <c r="CA68">
        <v>30</v>
      </c>
      <c r="CB68" t="s">
        <v>113</v>
      </c>
      <c r="CC68" t="s">
        <v>319</v>
      </c>
    </row>
    <row r="69" spans="1:81" x14ac:dyDescent="0.25">
      <c r="A69" t="s">
        <v>81</v>
      </c>
      <c r="B69">
        <v>68</v>
      </c>
      <c r="C69">
        <v>14</v>
      </c>
      <c r="D69">
        <v>15</v>
      </c>
      <c r="E69">
        <v>15</v>
      </c>
      <c r="F69">
        <v>14</v>
      </c>
      <c r="G69">
        <v>35</v>
      </c>
      <c r="H69">
        <v>59</v>
      </c>
      <c r="I69" t="s">
        <v>303</v>
      </c>
      <c r="J69" t="s">
        <v>304</v>
      </c>
      <c r="L69" t="s">
        <v>305</v>
      </c>
      <c r="M69" t="s">
        <v>85</v>
      </c>
      <c r="O69" t="s">
        <v>14</v>
      </c>
      <c r="P69" t="s">
        <v>306</v>
      </c>
      <c r="Q69" t="s">
        <v>307</v>
      </c>
      <c r="R69">
        <v>2020</v>
      </c>
      <c r="S69" t="s">
        <v>308</v>
      </c>
      <c r="U69" t="s">
        <v>309</v>
      </c>
      <c r="V69" t="s">
        <v>310</v>
      </c>
      <c r="W69" t="s">
        <v>170</v>
      </c>
      <c r="X69" t="s">
        <v>171</v>
      </c>
      <c r="Y69" t="s">
        <v>311</v>
      </c>
      <c r="Z69" t="s">
        <v>312</v>
      </c>
      <c r="AA69" t="s">
        <v>313</v>
      </c>
      <c r="AB69" t="s">
        <v>314</v>
      </c>
      <c r="AC69" t="s">
        <v>315</v>
      </c>
      <c r="AD69" t="s">
        <v>132</v>
      </c>
      <c r="AE69" t="s">
        <v>316</v>
      </c>
      <c r="AF69" t="s">
        <v>100</v>
      </c>
      <c r="AG69" t="s">
        <v>102</v>
      </c>
      <c r="AH69" t="s">
        <v>102</v>
      </c>
      <c r="AI69" t="s">
        <v>134</v>
      </c>
      <c r="AJ69" t="s">
        <v>135</v>
      </c>
      <c r="AM69" t="s">
        <v>136</v>
      </c>
      <c r="AN69" t="s">
        <v>106</v>
      </c>
      <c r="AO69">
        <f>(43.631975+43.462503+43.731066)/3</f>
        <v>43.608514666666657</v>
      </c>
      <c r="AP69">
        <f>(4.785667+5.328927+5.747532)/3</f>
        <v>5.2873753333333333</v>
      </c>
      <c r="AQ69">
        <f>(15+150+250)</f>
        <v>415</v>
      </c>
      <c r="AR69" t="s">
        <v>317</v>
      </c>
      <c r="AW69" t="s">
        <v>108</v>
      </c>
      <c r="AX69">
        <v>22</v>
      </c>
      <c r="AY69" t="s">
        <v>103</v>
      </c>
      <c r="AZ69" t="s">
        <v>109</v>
      </c>
      <c r="BA69" t="s">
        <v>180</v>
      </c>
      <c r="BB69">
        <v>24</v>
      </c>
      <c r="BC69">
        <v>28</v>
      </c>
      <c r="BE69" t="s">
        <v>139</v>
      </c>
      <c r="BG69">
        <v>0.3</v>
      </c>
      <c r="BP69">
        <v>14</v>
      </c>
      <c r="BU69" t="s">
        <v>318</v>
      </c>
      <c r="BV69">
        <v>44.68582</v>
      </c>
      <c r="BW69">
        <v>1.7837708000000001</v>
      </c>
      <c r="BX69">
        <v>30</v>
      </c>
      <c r="BY69">
        <v>46.170499999999997</v>
      </c>
      <c r="BZ69">
        <v>2.3608731000000001</v>
      </c>
      <c r="CA69">
        <v>30</v>
      </c>
      <c r="CB69" t="s">
        <v>113</v>
      </c>
      <c r="CC69" t="s">
        <v>319</v>
      </c>
    </row>
    <row r="70" spans="1:81" x14ac:dyDescent="0.25">
      <c r="A70" t="s">
        <v>81</v>
      </c>
      <c r="B70">
        <v>69</v>
      </c>
      <c r="C70">
        <v>14</v>
      </c>
      <c r="D70">
        <v>15</v>
      </c>
      <c r="E70">
        <v>16</v>
      </c>
      <c r="F70">
        <v>15</v>
      </c>
      <c r="G70">
        <v>36</v>
      </c>
      <c r="H70">
        <v>60</v>
      </c>
      <c r="I70" t="s">
        <v>303</v>
      </c>
      <c r="J70" t="s">
        <v>304</v>
      </c>
      <c r="L70" t="s">
        <v>305</v>
      </c>
      <c r="M70" t="s">
        <v>85</v>
      </c>
      <c r="O70" t="s">
        <v>14</v>
      </c>
      <c r="P70" t="s">
        <v>306</v>
      </c>
      <c r="Q70" t="s">
        <v>307</v>
      </c>
      <c r="R70">
        <v>2020</v>
      </c>
      <c r="S70" t="s">
        <v>308</v>
      </c>
      <c r="U70" t="s">
        <v>309</v>
      </c>
      <c r="V70" t="s">
        <v>310</v>
      </c>
      <c r="W70" t="s">
        <v>170</v>
      </c>
      <c r="X70" t="s">
        <v>171</v>
      </c>
      <c r="Y70" t="s">
        <v>311</v>
      </c>
      <c r="Z70" t="s">
        <v>312</v>
      </c>
      <c r="AA70" t="s">
        <v>313</v>
      </c>
      <c r="AB70" t="s">
        <v>314</v>
      </c>
      <c r="AC70" t="s">
        <v>315</v>
      </c>
      <c r="AD70" t="s">
        <v>132</v>
      </c>
      <c r="AE70" t="s">
        <v>316</v>
      </c>
      <c r="AF70" t="s">
        <v>100</v>
      </c>
      <c r="AG70" t="s">
        <v>102</v>
      </c>
      <c r="AH70" t="s">
        <v>102</v>
      </c>
      <c r="AI70" t="s">
        <v>134</v>
      </c>
      <c r="AJ70" t="s">
        <v>135</v>
      </c>
      <c r="AM70" t="s">
        <v>136</v>
      </c>
      <c r="AN70" t="s">
        <v>106</v>
      </c>
      <c r="AO70">
        <f>(43.490367+43.213223)/2</f>
        <v>43.351794999999996</v>
      </c>
      <c r="AP70">
        <f>(-8.315925+-8.993923)/2</f>
        <v>-8.6549240000000012</v>
      </c>
      <c r="AQ70">
        <f>(5+7)/2</f>
        <v>6</v>
      </c>
      <c r="AR70" t="s">
        <v>317</v>
      </c>
      <c r="AW70" t="s">
        <v>108</v>
      </c>
      <c r="AX70">
        <v>22</v>
      </c>
      <c r="AY70" t="s">
        <v>103</v>
      </c>
      <c r="AZ70" t="s">
        <v>109</v>
      </c>
      <c r="BA70" t="s">
        <v>180</v>
      </c>
      <c r="BB70">
        <v>16</v>
      </c>
      <c r="BC70">
        <v>20</v>
      </c>
      <c r="BE70" t="s">
        <v>139</v>
      </c>
      <c r="BG70">
        <v>0.3</v>
      </c>
      <c r="BP70">
        <v>14</v>
      </c>
      <c r="BU70" t="s">
        <v>320</v>
      </c>
      <c r="BV70">
        <v>44.206899999999997</v>
      </c>
      <c r="BW70">
        <v>0.83942150000000004</v>
      </c>
      <c r="BX70">
        <v>30</v>
      </c>
      <c r="BY70">
        <v>44.695399999999999</v>
      </c>
      <c r="BZ70">
        <v>0.73449390000000003</v>
      </c>
      <c r="CA70">
        <v>30</v>
      </c>
      <c r="CB70" t="s">
        <v>113</v>
      </c>
      <c r="CC70" t="s">
        <v>319</v>
      </c>
    </row>
    <row r="71" spans="1:81" x14ac:dyDescent="0.25">
      <c r="A71" t="s">
        <v>81</v>
      </c>
      <c r="B71">
        <v>70</v>
      </c>
      <c r="C71">
        <v>14</v>
      </c>
      <c r="D71">
        <v>15</v>
      </c>
      <c r="E71">
        <v>16</v>
      </c>
      <c r="F71">
        <v>15</v>
      </c>
      <c r="G71">
        <v>36</v>
      </c>
      <c r="H71">
        <v>61</v>
      </c>
      <c r="I71" t="s">
        <v>303</v>
      </c>
      <c r="J71" t="s">
        <v>304</v>
      </c>
      <c r="L71" t="s">
        <v>305</v>
      </c>
      <c r="M71" t="s">
        <v>85</v>
      </c>
      <c r="O71" t="s">
        <v>14</v>
      </c>
      <c r="P71" t="s">
        <v>306</v>
      </c>
      <c r="Q71" t="s">
        <v>307</v>
      </c>
      <c r="R71">
        <v>2020</v>
      </c>
      <c r="S71" t="s">
        <v>308</v>
      </c>
      <c r="U71" t="s">
        <v>309</v>
      </c>
      <c r="V71" t="s">
        <v>310</v>
      </c>
      <c r="W71" t="s">
        <v>170</v>
      </c>
      <c r="X71" t="s">
        <v>171</v>
      </c>
      <c r="Y71" t="s">
        <v>311</v>
      </c>
      <c r="Z71" t="s">
        <v>312</v>
      </c>
      <c r="AA71" t="s">
        <v>313</v>
      </c>
      <c r="AB71" t="s">
        <v>314</v>
      </c>
      <c r="AC71" t="s">
        <v>315</v>
      </c>
      <c r="AD71" t="s">
        <v>132</v>
      </c>
      <c r="AE71" t="s">
        <v>316</v>
      </c>
      <c r="AF71" t="s">
        <v>100</v>
      </c>
      <c r="AG71" t="s">
        <v>102</v>
      </c>
      <c r="AH71" t="s">
        <v>102</v>
      </c>
      <c r="AI71" t="s">
        <v>134</v>
      </c>
      <c r="AJ71" t="s">
        <v>135</v>
      </c>
      <c r="AM71" t="s">
        <v>136</v>
      </c>
      <c r="AN71" t="s">
        <v>106</v>
      </c>
      <c r="AO71">
        <f>(43.490367+43.213223)/2</f>
        <v>43.351794999999996</v>
      </c>
      <c r="AP71">
        <f>(-8.315925+-8.993923)/2</f>
        <v>-8.6549240000000012</v>
      </c>
      <c r="AQ71">
        <f>(5+7)/2</f>
        <v>6</v>
      </c>
      <c r="AR71" t="s">
        <v>317</v>
      </c>
      <c r="AW71" t="s">
        <v>108</v>
      </c>
      <c r="AX71">
        <v>22</v>
      </c>
      <c r="AY71" t="s">
        <v>103</v>
      </c>
      <c r="AZ71" t="s">
        <v>109</v>
      </c>
      <c r="BA71" t="s">
        <v>180</v>
      </c>
      <c r="BB71">
        <v>20</v>
      </c>
      <c r="BC71">
        <v>24</v>
      </c>
      <c r="BE71" t="s">
        <v>139</v>
      </c>
      <c r="BG71">
        <v>0.3</v>
      </c>
      <c r="BP71">
        <v>14</v>
      </c>
      <c r="BU71" t="s">
        <v>320</v>
      </c>
      <c r="BV71">
        <v>44.695399999999999</v>
      </c>
      <c r="BW71">
        <v>0.73449390000000003</v>
      </c>
      <c r="BX71">
        <v>30</v>
      </c>
      <c r="BY71">
        <v>45.442529999999998</v>
      </c>
      <c r="BZ71">
        <v>0.57710229999999996</v>
      </c>
      <c r="CA71">
        <v>30</v>
      </c>
      <c r="CB71" t="s">
        <v>113</v>
      </c>
      <c r="CC71" t="s">
        <v>319</v>
      </c>
    </row>
    <row r="72" spans="1:81" x14ac:dyDescent="0.25">
      <c r="A72" t="s">
        <v>81</v>
      </c>
      <c r="B72">
        <v>71</v>
      </c>
      <c r="C72">
        <v>14</v>
      </c>
      <c r="D72">
        <v>15</v>
      </c>
      <c r="E72">
        <v>16</v>
      </c>
      <c r="F72">
        <v>15</v>
      </c>
      <c r="G72">
        <v>36</v>
      </c>
      <c r="H72">
        <v>62</v>
      </c>
      <c r="I72" t="s">
        <v>303</v>
      </c>
      <c r="J72" t="s">
        <v>304</v>
      </c>
      <c r="L72" t="s">
        <v>305</v>
      </c>
      <c r="M72" t="s">
        <v>85</v>
      </c>
      <c r="O72" t="s">
        <v>14</v>
      </c>
      <c r="P72" t="s">
        <v>306</v>
      </c>
      <c r="Q72" t="s">
        <v>307</v>
      </c>
      <c r="R72">
        <v>2020</v>
      </c>
      <c r="S72" t="s">
        <v>308</v>
      </c>
      <c r="U72" t="s">
        <v>309</v>
      </c>
      <c r="V72" t="s">
        <v>310</v>
      </c>
      <c r="W72" t="s">
        <v>170</v>
      </c>
      <c r="X72" t="s">
        <v>171</v>
      </c>
      <c r="Y72" t="s">
        <v>311</v>
      </c>
      <c r="Z72" t="s">
        <v>312</v>
      </c>
      <c r="AA72" t="s">
        <v>313</v>
      </c>
      <c r="AB72" t="s">
        <v>314</v>
      </c>
      <c r="AC72" t="s">
        <v>315</v>
      </c>
      <c r="AD72" t="s">
        <v>132</v>
      </c>
      <c r="AE72" t="s">
        <v>316</v>
      </c>
      <c r="AF72" t="s">
        <v>100</v>
      </c>
      <c r="AG72" t="s">
        <v>102</v>
      </c>
      <c r="AH72" t="s">
        <v>102</v>
      </c>
      <c r="AI72" t="s">
        <v>134</v>
      </c>
      <c r="AJ72" t="s">
        <v>135</v>
      </c>
      <c r="AM72" t="s">
        <v>136</v>
      </c>
      <c r="AN72" t="s">
        <v>106</v>
      </c>
      <c r="AO72">
        <f>(43.490367+43.213223)/2</f>
        <v>43.351794999999996</v>
      </c>
      <c r="AP72">
        <f>(-8.315925+-8.993923)/2</f>
        <v>-8.6549240000000012</v>
      </c>
      <c r="AQ72">
        <f>(5+7)/2</f>
        <v>6</v>
      </c>
      <c r="AR72" t="s">
        <v>317</v>
      </c>
      <c r="AW72" t="s">
        <v>108</v>
      </c>
      <c r="AX72">
        <v>22</v>
      </c>
      <c r="AY72" t="s">
        <v>103</v>
      </c>
      <c r="AZ72" t="s">
        <v>109</v>
      </c>
      <c r="BA72" t="s">
        <v>180</v>
      </c>
      <c r="BB72">
        <v>24</v>
      </c>
      <c r="BC72">
        <v>28</v>
      </c>
      <c r="BE72" t="s">
        <v>139</v>
      </c>
      <c r="BG72">
        <v>0.3</v>
      </c>
      <c r="BP72">
        <v>14</v>
      </c>
      <c r="BU72" t="s">
        <v>320</v>
      </c>
      <c r="BV72">
        <v>45.442529999999998</v>
      </c>
      <c r="BW72">
        <v>0.57710229999999996</v>
      </c>
      <c r="BX72">
        <v>30</v>
      </c>
      <c r="BY72">
        <v>45.547890000000002</v>
      </c>
      <c r="BZ72">
        <v>0.99681310000000001</v>
      </c>
      <c r="CA72">
        <v>30</v>
      </c>
      <c r="CB72" t="s">
        <v>113</v>
      </c>
      <c r="CC72" t="s">
        <v>319</v>
      </c>
    </row>
    <row r="73" spans="1:81" x14ac:dyDescent="0.25">
      <c r="A73" t="s">
        <v>81</v>
      </c>
      <c r="B73">
        <v>72</v>
      </c>
      <c r="C73">
        <v>14</v>
      </c>
      <c r="D73">
        <v>15</v>
      </c>
      <c r="E73">
        <v>17</v>
      </c>
      <c r="F73">
        <v>16</v>
      </c>
      <c r="G73">
        <v>37</v>
      </c>
      <c r="H73">
        <v>63</v>
      </c>
      <c r="I73" t="s">
        <v>303</v>
      </c>
      <c r="J73" t="s">
        <v>304</v>
      </c>
      <c r="L73" t="s">
        <v>305</v>
      </c>
      <c r="M73" t="s">
        <v>85</v>
      </c>
      <c r="O73" t="s">
        <v>14</v>
      </c>
      <c r="P73" t="s">
        <v>306</v>
      </c>
      <c r="Q73" t="s">
        <v>307</v>
      </c>
      <c r="R73">
        <v>2020</v>
      </c>
      <c r="S73" t="s">
        <v>308</v>
      </c>
      <c r="U73" t="s">
        <v>309</v>
      </c>
      <c r="V73" t="s">
        <v>310</v>
      </c>
      <c r="W73" t="s">
        <v>170</v>
      </c>
      <c r="X73" t="s">
        <v>171</v>
      </c>
      <c r="Y73" t="s">
        <v>311</v>
      </c>
      <c r="Z73" t="s">
        <v>312</v>
      </c>
      <c r="AA73" t="s">
        <v>313</v>
      </c>
      <c r="AB73" t="s">
        <v>314</v>
      </c>
      <c r="AC73" t="s">
        <v>315</v>
      </c>
      <c r="AD73" t="s">
        <v>132</v>
      </c>
      <c r="AE73" t="s">
        <v>316</v>
      </c>
      <c r="AF73" t="s">
        <v>100</v>
      </c>
      <c r="AG73" t="s">
        <v>102</v>
      </c>
      <c r="AH73" t="s">
        <v>102</v>
      </c>
      <c r="AI73" t="s">
        <v>134</v>
      </c>
      <c r="AJ73" t="s">
        <v>135</v>
      </c>
      <c r="AM73" t="s">
        <v>136</v>
      </c>
      <c r="AN73" t="s">
        <v>106</v>
      </c>
      <c r="AO73">
        <f>(38.187389+38.877773)/2</f>
        <v>38.532581</v>
      </c>
      <c r="AP73">
        <f>(-0.789771+-0.083815)/2</f>
        <v>-0.43679299999999999</v>
      </c>
      <c r="AQ73">
        <f>(3+2)/2</f>
        <v>2.5</v>
      </c>
      <c r="AR73" t="s">
        <v>317</v>
      </c>
      <c r="AW73" t="s">
        <v>108</v>
      </c>
      <c r="AX73">
        <v>22</v>
      </c>
      <c r="AY73" t="s">
        <v>103</v>
      </c>
      <c r="AZ73" t="s">
        <v>109</v>
      </c>
      <c r="BA73" t="s">
        <v>180</v>
      </c>
      <c r="BB73">
        <v>16</v>
      </c>
      <c r="BC73">
        <v>20</v>
      </c>
      <c r="BE73" t="s">
        <v>139</v>
      </c>
      <c r="BG73">
        <v>0.3</v>
      </c>
      <c r="BP73">
        <v>14</v>
      </c>
      <c r="BU73" t="s">
        <v>321</v>
      </c>
      <c r="BV73">
        <v>44.839080000000003</v>
      </c>
      <c r="BW73">
        <v>0.68203000000000003</v>
      </c>
      <c r="BX73">
        <v>30</v>
      </c>
      <c r="BY73">
        <v>45.260539999999999</v>
      </c>
      <c r="BZ73">
        <v>2.4133369</v>
      </c>
      <c r="CA73">
        <v>30</v>
      </c>
      <c r="CB73" t="s">
        <v>113</v>
      </c>
      <c r="CC73" t="s">
        <v>319</v>
      </c>
    </row>
    <row r="74" spans="1:81" x14ac:dyDescent="0.25">
      <c r="A74" t="s">
        <v>81</v>
      </c>
      <c r="B74">
        <v>73</v>
      </c>
      <c r="C74">
        <v>14</v>
      </c>
      <c r="D74">
        <v>15</v>
      </c>
      <c r="E74">
        <v>17</v>
      </c>
      <c r="F74">
        <v>16</v>
      </c>
      <c r="G74">
        <v>37</v>
      </c>
      <c r="H74">
        <v>64</v>
      </c>
      <c r="I74" t="s">
        <v>303</v>
      </c>
      <c r="J74" t="s">
        <v>304</v>
      </c>
      <c r="L74" t="s">
        <v>305</v>
      </c>
      <c r="M74" t="s">
        <v>85</v>
      </c>
      <c r="O74" t="s">
        <v>14</v>
      </c>
      <c r="P74" t="s">
        <v>306</v>
      </c>
      <c r="Q74" t="s">
        <v>307</v>
      </c>
      <c r="R74">
        <v>2020</v>
      </c>
      <c r="S74" t="s">
        <v>308</v>
      </c>
      <c r="U74" t="s">
        <v>309</v>
      </c>
      <c r="V74" t="s">
        <v>310</v>
      </c>
      <c r="W74" t="s">
        <v>170</v>
      </c>
      <c r="X74" t="s">
        <v>171</v>
      </c>
      <c r="Y74" t="s">
        <v>311</v>
      </c>
      <c r="Z74" t="s">
        <v>312</v>
      </c>
      <c r="AA74" t="s">
        <v>313</v>
      </c>
      <c r="AB74" t="s">
        <v>314</v>
      </c>
      <c r="AC74" t="s">
        <v>315</v>
      </c>
      <c r="AD74" t="s">
        <v>132</v>
      </c>
      <c r="AE74" t="s">
        <v>316</v>
      </c>
      <c r="AF74" t="s">
        <v>100</v>
      </c>
      <c r="AG74" t="s">
        <v>102</v>
      </c>
      <c r="AH74" t="s">
        <v>102</v>
      </c>
      <c r="AI74" t="s">
        <v>134</v>
      </c>
      <c r="AJ74" t="s">
        <v>135</v>
      </c>
      <c r="AM74" t="s">
        <v>136</v>
      </c>
      <c r="AN74" t="s">
        <v>106</v>
      </c>
      <c r="AO74">
        <f>(38.187389+38.877773)/2</f>
        <v>38.532581</v>
      </c>
      <c r="AP74">
        <f>(-0.789771+-0.083815)/2</f>
        <v>-0.43679299999999999</v>
      </c>
      <c r="AQ74">
        <f>(3+2)/2</f>
        <v>2.5</v>
      </c>
      <c r="AR74" t="s">
        <v>317</v>
      </c>
      <c r="AW74" t="s">
        <v>108</v>
      </c>
      <c r="AX74">
        <v>22</v>
      </c>
      <c r="AY74" t="s">
        <v>103</v>
      </c>
      <c r="AZ74" t="s">
        <v>109</v>
      </c>
      <c r="BA74" t="s">
        <v>180</v>
      </c>
      <c r="BB74">
        <v>20</v>
      </c>
      <c r="BC74">
        <v>24</v>
      </c>
      <c r="BE74" t="s">
        <v>139</v>
      </c>
      <c r="BG74">
        <v>0.3</v>
      </c>
      <c r="BP74">
        <v>14</v>
      </c>
      <c r="BU74" t="s">
        <v>321</v>
      </c>
      <c r="BV74">
        <v>45.260539999999999</v>
      </c>
      <c r="BW74">
        <v>2.4133369</v>
      </c>
      <c r="BX74">
        <v>30</v>
      </c>
      <c r="BY74">
        <v>46.04598</v>
      </c>
      <c r="BZ74">
        <v>0.62956619999999996</v>
      </c>
      <c r="CA74">
        <v>30</v>
      </c>
      <c r="CB74" t="s">
        <v>113</v>
      </c>
      <c r="CC74" t="s">
        <v>319</v>
      </c>
    </row>
    <row r="75" spans="1:81" x14ac:dyDescent="0.25">
      <c r="A75" t="s">
        <v>81</v>
      </c>
      <c r="B75">
        <v>74</v>
      </c>
      <c r="C75">
        <v>14</v>
      </c>
      <c r="D75">
        <v>15</v>
      </c>
      <c r="E75">
        <v>17</v>
      </c>
      <c r="F75">
        <v>16</v>
      </c>
      <c r="G75">
        <v>37</v>
      </c>
      <c r="H75">
        <v>65</v>
      </c>
      <c r="I75" t="s">
        <v>303</v>
      </c>
      <c r="J75" t="s">
        <v>304</v>
      </c>
      <c r="L75" t="s">
        <v>305</v>
      </c>
      <c r="M75" t="s">
        <v>85</v>
      </c>
      <c r="O75" t="s">
        <v>14</v>
      </c>
      <c r="P75" t="s">
        <v>306</v>
      </c>
      <c r="Q75" t="s">
        <v>307</v>
      </c>
      <c r="R75">
        <v>2020</v>
      </c>
      <c r="S75" t="s">
        <v>308</v>
      </c>
      <c r="U75" t="s">
        <v>309</v>
      </c>
      <c r="V75" t="s">
        <v>310</v>
      </c>
      <c r="W75" t="s">
        <v>170</v>
      </c>
      <c r="X75" t="s">
        <v>171</v>
      </c>
      <c r="Y75" t="s">
        <v>311</v>
      </c>
      <c r="Z75" t="s">
        <v>312</v>
      </c>
      <c r="AA75" t="s">
        <v>313</v>
      </c>
      <c r="AB75" t="s">
        <v>314</v>
      </c>
      <c r="AC75" t="s">
        <v>315</v>
      </c>
      <c r="AD75" t="s">
        <v>132</v>
      </c>
      <c r="AE75" t="s">
        <v>316</v>
      </c>
      <c r="AF75" t="s">
        <v>100</v>
      </c>
      <c r="AG75" t="s">
        <v>102</v>
      </c>
      <c r="AH75" t="s">
        <v>102</v>
      </c>
      <c r="AI75" t="s">
        <v>134</v>
      </c>
      <c r="AJ75" t="s">
        <v>135</v>
      </c>
      <c r="AM75" t="s">
        <v>136</v>
      </c>
      <c r="AN75" t="s">
        <v>106</v>
      </c>
      <c r="AO75">
        <f>(38.187389+38.877773)/2</f>
        <v>38.532581</v>
      </c>
      <c r="AP75">
        <f>(-0.789771+-0.083815)/2</f>
        <v>-0.43679299999999999</v>
      </c>
      <c r="AQ75">
        <f>(3+2)/2</f>
        <v>2.5</v>
      </c>
      <c r="AR75" t="s">
        <v>317</v>
      </c>
      <c r="AW75" t="s">
        <v>108</v>
      </c>
      <c r="AX75">
        <v>22</v>
      </c>
      <c r="AY75" t="s">
        <v>103</v>
      </c>
      <c r="AZ75" t="s">
        <v>109</v>
      </c>
      <c r="BA75" t="s">
        <v>180</v>
      </c>
      <c r="BB75">
        <v>24</v>
      </c>
      <c r="BC75">
        <v>28</v>
      </c>
      <c r="BE75" t="s">
        <v>139</v>
      </c>
      <c r="BG75">
        <v>0.3</v>
      </c>
      <c r="BP75">
        <v>14</v>
      </c>
      <c r="BU75" t="s">
        <v>321</v>
      </c>
      <c r="BV75">
        <v>46.04598</v>
      </c>
      <c r="BW75">
        <v>0.62956619999999996</v>
      </c>
      <c r="BX75">
        <v>30</v>
      </c>
      <c r="BY75">
        <v>47.693489999999997</v>
      </c>
      <c r="BZ75">
        <v>1.3640600000000001</v>
      </c>
      <c r="CA75">
        <v>30</v>
      </c>
      <c r="CB75" t="s">
        <v>113</v>
      </c>
      <c r="CC75" t="s">
        <v>319</v>
      </c>
    </row>
    <row r="76" spans="1:81" x14ac:dyDescent="0.25">
      <c r="A76" t="s">
        <v>81</v>
      </c>
      <c r="B76">
        <v>75</v>
      </c>
      <c r="C76">
        <v>17</v>
      </c>
      <c r="D76">
        <v>18</v>
      </c>
      <c r="E76">
        <v>18</v>
      </c>
      <c r="F76">
        <v>17</v>
      </c>
      <c r="G76">
        <v>38</v>
      </c>
      <c r="H76">
        <v>66</v>
      </c>
      <c r="I76" t="s">
        <v>322</v>
      </c>
      <c r="J76" t="s">
        <v>119</v>
      </c>
      <c r="L76" t="s">
        <v>323</v>
      </c>
      <c r="M76" t="s">
        <v>85</v>
      </c>
      <c r="O76" t="s">
        <v>14</v>
      </c>
      <c r="P76" t="s">
        <v>324</v>
      </c>
      <c r="Q76" t="s">
        <v>325</v>
      </c>
      <c r="R76">
        <v>2010</v>
      </c>
      <c r="S76" t="s">
        <v>326</v>
      </c>
      <c r="U76" t="s">
        <v>327</v>
      </c>
      <c r="V76" t="s">
        <v>328</v>
      </c>
      <c r="W76" t="s">
        <v>170</v>
      </c>
      <c r="X76" t="s">
        <v>171</v>
      </c>
      <c r="Y76" t="s">
        <v>329</v>
      </c>
      <c r="Z76" t="s">
        <v>330</v>
      </c>
      <c r="AA76" t="s">
        <v>331</v>
      </c>
      <c r="AB76" t="s">
        <v>332</v>
      </c>
      <c r="AC76" t="s">
        <v>333</v>
      </c>
      <c r="AD76" t="s">
        <v>98</v>
      </c>
      <c r="AE76" t="s">
        <v>177</v>
      </c>
      <c r="AF76" t="s">
        <v>100</v>
      </c>
      <c r="AG76" t="s">
        <v>261</v>
      </c>
      <c r="AH76" t="s">
        <v>262</v>
      </c>
      <c r="AI76" t="s">
        <v>103</v>
      </c>
      <c r="AJ76" t="s">
        <v>104</v>
      </c>
      <c r="AK76">
        <f>((24+48)/2)/24</f>
        <v>1.5</v>
      </c>
      <c r="AL76">
        <v>25</v>
      </c>
      <c r="AM76" t="s">
        <v>263</v>
      </c>
      <c r="AN76" t="s">
        <v>106</v>
      </c>
      <c r="AS76">
        <v>2004</v>
      </c>
      <c r="AV76">
        <f>((24+48)/2)/24</f>
        <v>1.5</v>
      </c>
      <c r="AW76" t="s">
        <v>108</v>
      </c>
      <c r="AX76">
        <v>25</v>
      </c>
      <c r="AY76" t="s">
        <v>134</v>
      </c>
      <c r="AZ76" t="s">
        <v>109</v>
      </c>
      <c r="BA76" t="s">
        <v>110</v>
      </c>
      <c r="BB76">
        <v>20</v>
      </c>
      <c r="BC76">
        <v>25</v>
      </c>
      <c r="BD76">
        <v>1</v>
      </c>
      <c r="BE76" t="s">
        <v>111</v>
      </c>
      <c r="BF76">
        <v>6</v>
      </c>
      <c r="BG76">
        <v>0.25</v>
      </c>
      <c r="BS76" t="s">
        <v>334</v>
      </c>
      <c r="BU76" t="s">
        <v>335</v>
      </c>
      <c r="BV76">
        <v>44.449539999999999</v>
      </c>
      <c r="BW76">
        <v>0.2385321</v>
      </c>
      <c r="BX76">
        <v>20</v>
      </c>
      <c r="BY76">
        <v>44.449539999999999</v>
      </c>
      <c r="BZ76">
        <v>0.2293578</v>
      </c>
      <c r="CA76">
        <v>20</v>
      </c>
      <c r="CB76" t="s">
        <v>113</v>
      </c>
      <c r="CC76" t="s">
        <v>336</v>
      </c>
    </row>
    <row r="77" spans="1:81" x14ac:dyDescent="0.25">
      <c r="A77" t="s">
        <v>81</v>
      </c>
      <c r="B77">
        <v>76</v>
      </c>
      <c r="C77">
        <v>17</v>
      </c>
      <c r="D77">
        <v>18</v>
      </c>
      <c r="E77">
        <v>18</v>
      </c>
      <c r="F77">
        <v>17</v>
      </c>
      <c r="G77">
        <v>38</v>
      </c>
      <c r="H77">
        <v>67</v>
      </c>
      <c r="I77" t="s">
        <v>322</v>
      </c>
      <c r="J77" t="s">
        <v>119</v>
      </c>
      <c r="L77" t="s">
        <v>323</v>
      </c>
      <c r="M77" t="s">
        <v>85</v>
      </c>
      <c r="O77" t="s">
        <v>14</v>
      </c>
      <c r="P77" t="s">
        <v>324</v>
      </c>
      <c r="Q77" t="s">
        <v>325</v>
      </c>
      <c r="R77">
        <v>2010</v>
      </c>
      <c r="S77" t="s">
        <v>326</v>
      </c>
      <c r="U77" t="s">
        <v>327</v>
      </c>
      <c r="V77" t="s">
        <v>328</v>
      </c>
      <c r="W77" t="s">
        <v>170</v>
      </c>
      <c r="X77" t="s">
        <v>171</v>
      </c>
      <c r="Y77" t="s">
        <v>329</v>
      </c>
      <c r="Z77" t="s">
        <v>330</v>
      </c>
      <c r="AA77" t="s">
        <v>331</v>
      </c>
      <c r="AB77" t="s">
        <v>332</v>
      </c>
      <c r="AC77" t="s">
        <v>333</v>
      </c>
      <c r="AD77" t="s">
        <v>98</v>
      </c>
      <c r="AE77" t="s">
        <v>177</v>
      </c>
      <c r="AF77" t="s">
        <v>100</v>
      </c>
      <c r="AG77" t="s">
        <v>261</v>
      </c>
      <c r="AH77" t="s">
        <v>262</v>
      </c>
      <c r="AI77" t="s">
        <v>103</v>
      </c>
      <c r="AJ77" t="s">
        <v>104</v>
      </c>
      <c r="AK77">
        <f>((24+48)/2)/24</f>
        <v>1.5</v>
      </c>
      <c r="AL77">
        <v>25</v>
      </c>
      <c r="AM77" t="s">
        <v>263</v>
      </c>
      <c r="AN77" t="s">
        <v>106</v>
      </c>
      <c r="AS77">
        <v>2004</v>
      </c>
      <c r="AV77">
        <f>((24+48)/2)/24</f>
        <v>1.5</v>
      </c>
      <c r="AW77" t="s">
        <v>108</v>
      </c>
      <c r="AX77">
        <v>25</v>
      </c>
      <c r="AY77" t="s">
        <v>134</v>
      </c>
      <c r="AZ77" t="s">
        <v>109</v>
      </c>
      <c r="BA77" t="s">
        <v>110</v>
      </c>
      <c r="BB77">
        <v>25</v>
      </c>
      <c r="BC77">
        <v>30</v>
      </c>
      <c r="BD77">
        <v>1</v>
      </c>
      <c r="BE77" t="s">
        <v>111</v>
      </c>
      <c r="BF77">
        <v>6</v>
      </c>
      <c r="BG77">
        <v>0.25</v>
      </c>
      <c r="BS77" t="s">
        <v>334</v>
      </c>
      <c r="BU77" t="s">
        <v>335</v>
      </c>
      <c r="BV77">
        <v>44.449539999999999</v>
      </c>
      <c r="BW77">
        <v>0.2293578</v>
      </c>
      <c r="BX77">
        <v>20</v>
      </c>
      <c r="BY77">
        <v>45.596330000000002</v>
      </c>
      <c r="BZ77">
        <v>0.2293578</v>
      </c>
      <c r="CA77">
        <v>20</v>
      </c>
      <c r="CB77" t="s">
        <v>113</v>
      </c>
      <c r="CC77" t="s">
        <v>336</v>
      </c>
    </row>
    <row r="78" spans="1:81" x14ac:dyDescent="0.25">
      <c r="A78" t="s">
        <v>81</v>
      </c>
      <c r="B78">
        <v>77</v>
      </c>
      <c r="C78">
        <v>19</v>
      </c>
      <c r="D78">
        <v>21</v>
      </c>
      <c r="E78">
        <v>19</v>
      </c>
      <c r="F78">
        <v>18</v>
      </c>
      <c r="G78">
        <v>39</v>
      </c>
      <c r="H78">
        <v>68</v>
      </c>
      <c r="I78" t="s">
        <v>337</v>
      </c>
      <c r="J78" t="s">
        <v>338</v>
      </c>
      <c r="L78" t="s">
        <v>339</v>
      </c>
      <c r="M78" t="s">
        <v>85</v>
      </c>
      <c r="O78" t="s">
        <v>14</v>
      </c>
      <c r="P78" t="s">
        <v>340</v>
      </c>
      <c r="Q78" t="s">
        <v>341</v>
      </c>
      <c r="R78">
        <v>2019</v>
      </c>
      <c r="S78" t="s">
        <v>342</v>
      </c>
      <c r="U78" t="s">
        <v>343</v>
      </c>
      <c r="V78" t="s">
        <v>344</v>
      </c>
      <c r="W78" t="s">
        <v>91</v>
      </c>
      <c r="X78" t="s">
        <v>92</v>
      </c>
      <c r="Y78" t="s">
        <v>345</v>
      </c>
      <c r="Z78" t="s">
        <v>346</v>
      </c>
      <c r="AA78" t="s">
        <v>347</v>
      </c>
      <c r="AB78" t="s">
        <v>348</v>
      </c>
      <c r="AC78" t="s">
        <v>349</v>
      </c>
      <c r="AD78" t="s">
        <v>132</v>
      </c>
      <c r="AE78" t="s">
        <v>99</v>
      </c>
      <c r="AF78" t="s">
        <v>100</v>
      </c>
      <c r="AG78" t="s">
        <v>102</v>
      </c>
      <c r="AH78" t="s">
        <v>102</v>
      </c>
      <c r="AI78" t="s">
        <v>134</v>
      </c>
      <c r="AJ78" t="s">
        <v>135</v>
      </c>
      <c r="AM78" t="s">
        <v>136</v>
      </c>
      <c r="AN78" t="s">
        <v>106</v>
      </c>
      <c r="AO78">
        <v>19.766666666700001</v>
      </c>
      <c r="AP78">
        <v>110.3166666667</v>
      </c>
      <c r="AQ78">
        <v>19</v>
      </c>
      <c r="AR78" t="s">
        <v>317</v>
      </c>
      <c r="AS78">
        <v>2016</v>
      </c>
      <c r="AU78">
        <v>6.2</v>
      </c>
      <c r="AW78" t="s">
        <v>108</v>
      </c>
      <c r="AX78">
        <v>29</v>
      </c>
      <c r="AY78" t="s">
        <v>103</v>
      </c>
      <c r="AZ78" t="s">
        <v>109</v>
      </c>
      <c r="BA78" t="s">
        <v>110</v>
      </c>
      <c r="BB78">
        <v>20</v>
      </c>
      <c r="BC78">
        <v>30</v>
      </c>
      <c r="BE78" t="s">
        <v>139</v>
      </c>
      <c r="BF78">
        <v>28</v>
      </c>
      <c r="BG78">
        <v>0.1</v>
      </c>
      <c r="BP78">
        <v>11</v>
      </c>
      <c r="BU78" t="s">
        <v>350</v>
      </c>
      <c r="BV78">
        <v>40.423250000000003</v>
      </c>
      <c r="BW78">
        <v>0.31039509999999998</v>
      </c>
      <c r="BX78">
        <v>8</v>
      </c>
      <c r="BY78">
        <v>41.274850000000001</v>
      </c>
      <c r="BZ78">
        <v>0.45938479999999998</v>
      </c>
      <c r="CA78">
        <v>8</v>
      </c>
      <c r="CB78" t="s">
        <v>113</v>
      </c>
      <c r="CC78" t="s">
        <v>141</v>
      </c>
    </row>
    <row r="79" spans="1:81" x14ac:dyDescent="0.25">
      <c r="A79" t="s">
        <v>81</v>
      </c>
      <c r="B79">
        <v>78</v>
      </c>
      <c r="C79">
        <v>19</v>
      </c>
      <c r="D79">
        <v>21</v>
      </c>
      <c r="E79">
        <v>20</v>
      </c>
      <c r="F79">
        <v>19</v>
      </c>
      <c r="G79">
        <v>40</v>
      </c>
      <c r="H79">
        <v>69</v>
      </c>
      <c r="I79" t="s">
        <v>337</v>
      </c>
      <c r="J79" t="s">
        <v>338</v>
      </c>
      <c r="L79" t="s">
        <v>339</v>
      </c>
      <c r="M79" t="s">
        <v>85</v>
      </c>
      <c r="O79" t="s">
        <v>14</v>
      </c>
      <c r="P79" t="s">
        <v>340</v>
      </c>
      <c r="Q79" t="s">
        <v>341</v>
      </c>
      <c r="R79">
        <v>2019</v>
      </c>
      <c r="S79" t="s">
        <v>342</v>
      </c>
      <c r="U79" t="s">
        <v>343</v>
      </c>
      <c r="V79" t="s">
        <v>344</v>
      </c>
      <c r="W79" t="s">
        <v>91</v>
      </c>
      <c r="X79" t="s">
        <v>92</v>
      </c>
      <c r="Y79" t="s">
        <v>345</v>
      </c>
      <c r="Z79" t="s">
        <v>346</v>
      </c>
      <c r="AA79" t="s">
        <v>347</v>
      </c>
      <c r="AB79" t="s">
        <v>348</v>
      </c>
      <c r="AC79" t="s">
        <v>349</v>
      </c>
      <c r="AD79" t="s">
        <v>132</v>
      </c>
      <c r="AE79" t="s">
        <v>99</v>
      </c>
      <c r="AF79" t="s">
        <v>100</v>
      </c>
      <c r="AG79" t="s">
        <v>102</v>
      </c>
      <c r="AH79" t="s">
        <v>102</v>
      </c>
      <c r="AI79" t="s">
        <v>134</v>
      </c>
      <c r="AJ79" t="s">
        <v>135</v>
      </c>
      <c r="AM79" t="s">
        <v>136</v>
      </c>
      <c r="AN79" t="s">
        <v>106</v>
      </c>
      <c r="AO79">
        <v>30.316666666700002</v>
      </c>
      <c r="AP79">
        <v>120.4166666667</v>
      </c>
      <c r="AQ79">
        <v>7</v>
      </c>
      <c r="AR79" t="s">
        <v>317</v>
      </c>
      <c r="AS79">
        <v>2016</v>
      </c>
      <c r="AU79">
        <v>6.2</v>
      </c>
      <c r="AW79" t="s">
        <v>108</v>
      </c>
      <c r="AX79">
        <v>29</v>
      </c>
      <c r="AY79" t="s">
        <v>103</v>
      </c>
      <c r="AZ79" t="s">
        <v>109</v>
      </c>
      <c r="BA79" t="s">
        <v>110</v>
      </c>
      <c r="BB79">
        <v>20</v>
      </c>
      <c r="BC79">
        <v>30</v>
      </c>
      <c r="BE79" t="s">
        <v>139</v>
      </c>
      <c r="BF79">
        <v>28</v>
      </c>
      <c r="BG79">
        <v>0.1</v>
      </c>
      <c r="BP79">
        <v>11</v>
      </c>
      <c r="BU79" t="s">
        <v>351</v>
      </c>
      <c r="BV79">
        <v>40.194989999999997</v>
      </c>
      <c r="BW79">
        <v>0.34764250000000002</v>
      </c>
      <c r="BX79">
        <v>8</v>
      </c>
      <c r="BY79">
        <v>40.853439999999999</v>
      </c>
      <c r="BZ79">
        <v>0.47180060000000001</v>
      </c>
      <c r="CA79">
        <v>8</v>
      </c>
      <c r="CB79" t="s">
        <v>113</v>
      </c>
      <c r="CC79" t="s">
        <v>141</v>
      </c>
    </row>
    <row r="80" spans="1:81" x14ac:dyDescent="0.25">
      <c r="A80" t="s">
        <v>81</v>
      </c>
      <c r="B80">
        <v>79</v>
      </c>
      <c r="C80">
        <v>19</v>
      </c>
      <c r="D80">
        <v>22</v>
      </c>
      <c r="E80">
        <v>19</v>
      </c>
      <c r="F80">
        <v>20</v>
      </c>
      <c r="G80">
        <v>41</v>
      </c>
      <c r="H80">
        <v>70</v>
      </c>
      <c r="I80" t="s">
        <v>337</v>
      </c>
      <c r="J80" t="s">
        <v>338</v>
      </c>
      <c r="L80" t="s">
        <v>339</v>
      </c>
      <c r="M80" t="s">
        <v>85</v>
      </c>
      <c r="O80" t="s">
        <v>14</v>
      </c>
      <c r="P80" t="s">
        <v>340</v>
      </c>
      <c r="Q80" t="s">
        <v>341</v>
      </c>
      <c r="R80">
        <v>2019</v>
      </c>
      <c r="S80" t="s">
        <v>342</v>
      </c>
      <c r="U80" t="s">
        <v>343</v>
      </c>
      <c r="V80" t="s">
        <v>344</v>
      </c>
      <c r="W80" t="s">
        <v>91</v>
      </c>
      <c r="X80" t="s">
        <v>92</v>
      </c>
      <c r="Y80" t="s">
        <v>345</v>
      </c>
      <c r="Z80" t="s">
        <v>352</v>
      </c>
      <c r="AA80" t="s">
        <v>353</v>
      </c>
      <c r="AB80" t="s">
        <v>354</v>
      </c>
      <c r="AC80" t="s">
        <v>355</v>
      </c>
      <c r="AD80" t="s">
        <v>132</v>
      </c>
      <c r="AE80" t="s">
        <v>99</v>
      </c>
      <c r="AF80" t="s">
        <v>100</v>
      </c>
      <c r="AG80" t="s">
        <v>102</v>
      </c>
      <c r="AH80" t="s">
        <v>102</v>
      </c>
      <c r="AI80" t="s">
        <v>134</v>
      </c>
      <c r="AJ80" t="s">
        <v>135</v>
      </c>
      <c r="AM80" t="s">
        <v>136</v>
      </c>
      <c r="AN80" t="s">
        <v>106</v>
      </c>
      <c r="AO80">
        <v>110.3166666667</v>
      </c>
      <c r="AP80">
        <v>110.3166666667</v>
      </c>
      <c r="AQ80">
        <v>19</v>
      </c>
      <c r="AR80" t="s">
        <v>317</v>
      </c>
      <c r="AS80">
        <v>2016</v>
      </c>
      <c r="AU80">
        <v>8.06</v>
      </c>
      <c r="AW80" t="s">
        <v>108</v>
      </c>
      <c r="AX80">
        <v>29</v>
      </c>
      <c r="AY80" t="s">
        <v>103</v>
      </c>
      <c r="AZ80" t="s">
        <v>109</v>
      </c>
      <c r="BA80" t="s">
        <v>110</v>
      </c>
      <c r="BB80">
        <v>20</v>
      </c>
      <c r="BC80">
        <v>30</v>
      </c>
      <c r="BE80" t="s">
        <v>139</v>
      </c>
      <c r="BF80">
        <v>28</v>
      </c>
      <c r="BG80">
        <v>0.1</v>
      </c>
      <c r="BP80">
        <v>11</v>
      </c>
      <c r="BU80" t="s">
        <v>356</v>
      </c>
      <c r="BV80">
        <v>40.647129999999997</v>
      </c>
      <c r="BW80">
        <v>0.40972160000000002</v>
      </c>
      <c r="BX80">
        <v>8</v>
      </c>
      <c r="BY80">
        <v>41.744540000000001</v>
      </c>
      <c r="BZ80">
        <v>0.23590030000000001</v>
      </c>
      <c r="CA80">
        <v>8</v>
      </c>
      <c r="CB80" t="s">
        <v>113</v>
      </c>
      <c r="CC80" t="s">
        <v>141</v>
      </c>
    </row>
    <row r="81" spans="1:81" x14ac:dyDescent="0.25">
      <c r="A81" t="s">
        <v>81</v>
      </c>
      <c r="B81">
        <v>80</v>
      </c>
      <c r="C81">
        <v>19</v>
      </c>
      <c r="D81">
        <v>22</v>
      </c>
      <c r="E81">
        <v>20</v>
      </c>
      <c r="F81">
        <v>21</v>
      </c>
      <c r="G81">
        <v>42</v>
      </c>
      <c r="H81">
        <v>71</v>
      </c>
      <c r="I81" t="s">
        <v>337</v>
      </c>
      <c r="J81" t="s">
        <v>338</v>
      </c>
      <c r="L81" t="s">
        <v>339</v>
      </c>
      <c r="M81" t="s">
        <v>85</v>
      </c>
      <c r="O81" t="s">
        <v>14</v>
      </c>
      <c r="P81" t="s">
        <v>340</v>
      </c>
      <c r="Q81" t="s">
        <v>341</v>
      </c>
      <c r="R81">
        <v>2019</v>
      </c>
      <c r="S81" t="s">
        <v>342</v>
      </c>
      <c r="U81" t="s">
        <v>343</v>
      </c>
      <c r="V81" t="s">
        <v>344</v>
      </c>
      <c r="W81" t="s">
        <v>91</v>
      </c>
      <c r="X81" t="s">
        <v>92</v>
      </c>
      <c r="Y81" t="s">
        <v>345</v>
      </c>
      <c r="Z81" t="s">
        <v>352</v>
      </c>
      <c r="AA81" t="s">
        <v>353</v>
      </c>
      <c r="AB81" t="s">
        <v>354</v>
      </c>
      <c r="AC81" t="s">
        <v>355</v>
      </c>
      <c r="AD81" t="s">
        <v>132</v>
      </c>
      <c r="AE81" t="s">
        <v>99</v>
      </c>
      <c r="AF81" t="s">
        <v>100</v>
      </c>
      <c r="AG81" t="s">
        <v>102</v>
      </c>
      <c r="AH81" t="s">
        <v>102</v>
      </c>
      <c r="AI81" t="s">
        <v>134</v>
      </c>
      <c r="AJ81" t="s">
        <v>135</v>
      </c>
      <c r="AM81" t="s">
        <v>136</v>
      </c>
      <c r="AN81" t="s">
        <v>106</v>
      </c>
      <c r="AO81">
        <v>30.316666666700002</v>
      </c>
      <c r="AP81">
        <v>120.4166666667</v>
      </c>
      <c r="AQ81">
        <v>7</v>
      </c>
      <c r="AR81" t="s">
        <v>317</v>
      </c>
      <c r="AS81">
        <v>2016</v>
      </c>
      <c r="AU81">
        <v>8.06</v>
      </c>
      <c r="AW81" t="s">
        <v>108</v>
      </c>
      <c r="AX81">
        <v>29</v>
      </c>
      <c r="AY81" t="s">
        <v>103</v>
      </c>
      <c r="AZ81" t="s">
        <v>109</v>
      </c>
      <c r="BA81" t="s">
        <v>110</v>
      </c>
      <c r="BB81">
        <v>20</v>
      </c>
      <c r="BC81">
        <v>30</v>
      </c>
      <c r="BE81" t="s">
        <v>139</v>
      </c>
      <c r="BF81">
        <v>28</v>
      </c>
      <c r="BG81">
        <v>0.1</v>
      </c>
      <c r="BP81">
        <v>11</v>
      </c>
      <c r="BU81" t="s">
        <v>357</v>
      </c>
      <c r="BV81">
        <v>40.651519999999998</v>
      </c>
      <c r="BW81">
        <v>0.3600583</v>
      </c>
      <c r="BX81">
        <v>8</v>
      </c>
      <c r="BY81">
        <v>41.459209999999999</v>
      </c>
      <c r="BZ81">
        <v>0.49663220000000002</v>
      </c>
      <c r="CA81">
        <v>8</v>
      </c>
      <c r="CB81" t="s">
        <v>113</v>
      </c>
      <c r="CC81" t="s">
        <v>141</v>
      </c>
    </row>
    <row r="82" spans="1:81" x14ac:dyDescent="0.25">
      <c r="A82" t="s">
        <v>81</v>
      </c>
      <c r="B82">
        <v>81</v>
      </c>
      <c r="C82">
        <v>22</v>
      </c>
      <c r="D82">
        <v>1</v>
      </c>
      <c r="E82">
        <v>2</v>
      </c>
      <c r="F82">
        <v>22</v>
      </c>
      <c r="G82">
        <v>43</v>
      </c>
      <c r="H82">
        <v>72</v>
      </c>
      <c r="I82" t="s">
        <v>358</v>
      </c>
      <c r="J82" t="s">
        <v>83</v>
      </c>
      <c r="K82" s="3" t="s">
        <v>359</v>
      </c>
      <c r="M82" t="s">
        <v>85</v>
      </c>
      <c r="O82" t="s">
        <v>14</v>
      </c>
      <c r="P82" t="s">
        <v>360</v>
      </c>
      <c r="Q82" t="s">
        <v>361</v>
      </c>
      <c r="R82">
        <v>2017</v>
      </c>
      <c r="S82" t="s">
        <v>158</v>
      </c>
      <c r="U82" t="s">
        <v>362</v>
      </c>
      <c r="V82" t="s">
        <v>363</v>
      </c>
      <c r="W82" t="s">
        <v>91</v>
      </c>
      <c r="X82" t="s">
        <v>92</v>
      </c>
      <c r="Y82" t="s">
        <v>93</v>
      </c>
      <c r="Z82" t="s">
        <v>94</v>
      </c>
      <c r="AA82" t="s">
        <v>95</v>
      </c>
      <c r="AB82" t="s">
        <v>96</v>
      </c>
      <c r="AC82" t="s">
        <v>97</v>
      </c>
      <c r="AD82" t="s">
        <v>98</v>
      </c>
      <c r="AE82" t="s">
        <v>99</v>
      </c>
      <c r="AF82" t="s">
        <v>100</v>
      </c>
      <c r="AG82" t="s">
        <v>101</v>
      </c>
      <c r="AH82" t="s">
        <v>102</v>
      </c>
      <c r="AI82" t="s">
        <v>103</v>
      </c>
      <c r="AJ82" t="s">
        <v>104</v>
      </c>
      <c r="AK82">
        <f>(7+10)/2</f>
        <v>8.5</v>
      </c>
      <c r="AL82">
        <v>22</v>
      </c>
      <c r="AM82" t="s">
        <v>105</v>
      </c>
      <c r="AN82" t="s">
        <v>106</v>
      </c>
      <c r="AO82">
        <v>-34.076111111099998</v>
      </c>
      <c r="AP82">
        <v>150.8294444444</v>
      </c>
      <c r="AQ82">
        <v>279</v>
      </c>
      <c r="AR82" t="s">
        <v>107</v>
      </c>
      <c r="AS82">
        <v>2014</v>
      </c>
      <c r="AV82">
        <f>(7+10)/2</f>
        <v>8.5</v>
      </c>
      <c r="AW82" t="s">
        <v>108</v>
      </c>
      <c r="AX82">
        <v>22</v>
      </c>
      <c r="AY82" t="s">
        <v>103</v>
      </c>
      <c r="AZ82" t="s">
        <v>109</v>
      </c>
      <c r="BA82" t="s">
        <v>110</v>
      </c>
      <c r="BB82">
        <v>23.2</v>
      </c>
      <c r="BC82">
        <v>27</v>
      </c>
      <c r="BE82" t="s">
        <v>111</v>
      </c>
      <c r="BG82">
        <v>0.25</v>
      </c>
      <c r="BP82">
        <v>12</v>
      </c>
      <c r="BU82" t="s">
        <v>364</v>
      </c>
      <c r="BV82">
        <v>40.255560000000003</v>
      </c>
      <c r="BW82">
        <v>0.64247779999999999</v>
      </c>
      <c r="BX82">
        <v>9</v>
      </c>
      <c r="BY82">
        <v>38.69</v>
      </c>
      <c r="BZ82">
        <v>0.43063259999999998</v>
      </c>
      <c r="CA82">
        <v>10</v>
      </c>
      <c r="CB82" t="s">
        <v>113</v>
      </c>
      <c r="CC82" t="s">
        <v>365</v>
      </c>
    </row>
    <row r="83" spans="1:81" x14ac:dyDescent="0.25">
      <c r="A83" t="s">
        <v>81</v>
      </c>
      <c r="B83">
        <v>82</v>
      </c>
      <c r="C83">
        <v>22</v>
      </c>
      <c r="D83">
        <v>1</v>
      </c>
      <c r="E83">
        <v>21</v>
      </c>
      <c r="F83">
        <v>23</v>
      </c>
      <c r="G83">
        <v>44</v>
      </c>
      <c r="H83">
        <v>73</v>
      </c>
      <c r="I83" t="s">
        <v>358</v>
      </c>
      <c r="J83" t="s">
        <v>83</v>
      </c>
      <c r="K83" s="3" t="s">
        <v>359</v>
      </c>
      <c r="M83" t="s">
        <v>85</v>
      </c>
      <c r="O83" t="s">
        <v>14</v>
      </c>
      <c r="P83" t="s">
        <v>360</v>
      </c>
      <c r="Q83" t="s">
        <v>361</v>
      </c>
      <c r="R83">
        <v>2017</v>
      </c>
      <c r="S83" t="s">
        <v>158</v>
      </c>
      <c r="U83" t="s">
        <v>362</v>
      </c>
      <c r="V83" t="s">
        <v>363</v>
      </c>
      <c r="W83" t="s">
        <v>91</v>
      </c>
      <c r="X83" t="s">
        <v>92</v>
      </c>
      <c r="Y83" t="s">
        <v>93</v>
      </c>
      <c r="Z83" t="s">
        <v>94</v>
      </c>
      <c r="AA83" t="s">
        <v>95</v>
      </c>
      <c r="AB83" t="s">
        <v>96</v>
      </c>
      <c r="AC83" t="s">
        <v>97</v>
      </c>
      <c r="AD83" t="s">
        <v>98</v>
      </c>
      <c r="AE83" t="s">
        <v>99</v>
      </c>
      <c r="AF83" t="s">
        <v>100</v>
      </c>
      <c r="AG83" t="s">
        <v>101</v>
      </c>
      <c r="AH83" t="s">
        <v>102</v>
      </c>
      <c r="AI83" t="s">
        <v>103</v>
      </c>
      <c r="AJ83" t="s">
        <v>104</v>
      </c>
      <c r="AK83">
        <f>(7+10)/2</f>
        <v>8.5</v>
      </c>
      <c r="AL83">
        <v>22</v>
      </c>
      <c r="AM83" t="s">
        <v>105</v>
      </c>
      <c r="AN83" t="s">
        <v>106</v>
      </c>
      <c r="AO83">
        <v>-34.984999999999999</v>
      </c>
      <c r="AP83">
        <v>150.24</v>
      </c>
      <c r="AQ83">
        <v>1357</v>
      </c>
      <c r="AR83" t="s">
        <v>107</v>
      </c>
      <c r="AS83">
        <v>2014</v>
      </c>
      <c r="AV83">
        <f>(7+10)/2</f>
        <v>8.5</v>
      </c>
      <c r="AW83" t="s">
        <v>108</v>
      </c>
      <c r="AX83">
        <v>22</v>
      </c>
      <c r="AY83" t="s">
        <v>103</v>
      </c>
      <c r="AZ83" t="s">
        <v>109</v>
      </c>
      <c r="BA83" t="s">
        <v>110</v>
      </c>
      <c r="BB83">
        <v>23.2</v>
      </c>
      <c r="BC83">
        <v>27</v>
      </c>
      <c r="BE83" t="s">
        <v>111</v>
      </c>
      <c r="BF83" s="4"/>
      <c r="BG83">
        <v>0.25</v>
      </c>
      <c r="BP83">
        <v>12</v>
      </c>
      <c r="BU83" t="s">
        <v>366</v>
      </c>
      <c r="BV83">
        <v>40.15455</v>
      </c>
      <c r="BW83">
        <v>0.54655949999999998</v>
      </c>
      <c r="BX83">
        <v>11</v>
      </c>
      <c r="BY83">
        <v>38.690910000000002</v>
      </c>
      <c r="BZ83">
        <v>0.41822130000000002</v>
      </c>
      <c r="CA83">
        <v>11</v>
      </c>
      <c r="CB83" t="s">
        <v>113</v>
      </c>
      <c r="CC83" t="s">
        <v>365</v>
      </c>
    </row>
    <row r="84" spans="1:81" x14ac:dyDescent="0.25">
      <c r="A84" t="s">
        <v>81</v>
      </c>
      <c r="B84">
        <v>83</v>
      </c>
      <c r="C84">
        <v>23</v>
      </c>
      <c r="D84">
        <v>15</v>
      </c>
      <c r="E84">
        <v>22</v>
      </c>
      <c r="F84">
        <v>24</v>
      </c>
      <c r="G84">
        <v>45</v>
      </c>
      <c r="H84">
        <v>74</v>
      </c>
      <c r="I84" t="s">
        <v>367</v>
      </c>
      <c r="J84" t="s">
        <v>184</v>
      </c>
      <c r="L84" t="s">
        <v>368</v>
      </c>
      <c r="M84" t="s">
        <v>85</v>
      </c>
      <c r="O84" t="s">
        <v>14</v>
      </c>
      <c r="P84" t="s">
        <v>369</v>
      </c>
      <c r="Q84" t="s">
        <v>370</v>
      </c>
      <c r="R84">
        <v>2017</v>
      </c>
      <c r="S84" t="s">
        <v>371</v>
      </c>
      <c r="U84" t="s">
        <v>372</v>
      </c>
      <c r="V84" t="s">
        <v>373</v>
      </c>
      <c r="W84" t="s">
        <v>170</v>
      </c>
      <c r="X84" t="s">
        <v>171</v>
      </c>
      <c r="Y84" t="s">
        <v>311</v>
      </c>
      <c r="Z84" t="s">
        <v>312</v>
      </c>
      <c r="AA84" t="s">
        <v>313</v>
      </c>
      <c r="AB84" t="s">
        <v>314</v>
      </c>
      <c r="AC84" t="s">
        <v>315</v>
      </c>
      <c r="AD84" t="s">
        <v>132</v>
      </c>
      <c r="AE84" t="s">
        <v>316</v>
      </c>
      <c r="AF84" t="s">
        <v>100</v>
      </c>
      <c r="AG84" t="s">
        <v>261</v>
      </c>
      <c r="AH84" t="s">
        <v>102</v>
      </c>
      <c r="AI84" t="s">
        <v>134</v>
      </c>
      <c r="AJ84" t="s">
        <v>135</v>
      </c>
      <c r="AM84" t="s">
        <v>178</v>
      </c>
      <c r="AN84" t="s">
        <v>106</v>
      </c>
      <c r="AO84">
        <f>(43.6379472222+44.1504166667+43.1691833333)/3</f>
        <v>43.652515740733328</v>
      </c>
      <c r="AP84">
        <f>(4.8469583333+4.8556555556+6.2698222222)/3</f>
        <v>5.3241453703666668</v>
      </c>
      <c r="AQ84">
        <f>(30+56+85)/3</f>
        <v>57</v>
      </c>
      <c r="AR84" t="s">
        <v>317</v>
      </c>
      <c r="AS84">
        <v>2014</v>
      </c>
      <c r="AW84" t="s">
        <v>108</v>
      </c>
      <c r="AZ84" t="s">
        <v>109</v>
      </c>
      <c r="BA84" t="s">
        <v>180</v>
      </c>
      <c r="BB84">
        <v>20</v>
      </c>
      <c r="BC84">
        <v>24</v>
      </c>
      <c r="BE84" t="s">
        <v>139</v>
      </c>
      <c r="BG84">
        <v>0.3</v>
      </c>
      <c r="BP84">
        <v>14</v>
      </c>
      <c r="BU84" t="s">
        <v>374</v>
      </c>
      <c r="BV84">
        <v>44.606909999999999</v>
      </c>
      <c r="BW84">
        <v>0.61817860000000002</v>
      </c>
      <c r="BX84">
        <v>20</v>
      </c>
      <c r="BY84">
        <v>44.948050000000002</v>
      </c>
      <c r="BZ84">
        <v>0.63887660000000002</v>
      </c>
      <c r="CA84">
        <v>20</v>
      </c>
      <c r="CB84" t="s">
        <v>113</v>
      </c>
      <c r="CC84" t="s">
        <v>375</v>
      </c>
    </row>
    <row r="85" spans="1:81" x14ac:dyDescent="0.25">
      <c r="A85" t="s">
        <v>81</v>
      </c>
      <c r="B85">
        <v>84</v>
      </c>
      <c r="C85">
        <v>23</v>
      </c>
      <c r="D85">
        <v>15</v>
      </c>
      <c r="E85">
        <v>23</v>
      </c>
      <c r="F85">
        <v>25</v>
      </c>
      <c r="G85">
        <v>46</v>
      </c>
      <c r="H85">
        <v>75</v>
      </c>
      <c r="I85" t="s">
        <v>367</v>
      </c>
      <c r="J85" t="s">
        <v>184</v>
      </c>
      <c r="L85" t="s">
        <v>368</v>
      </c>
      <c r="M85" t="s">
        <v>85</v>
      </c>
      <c r="O85" t="s">
        <v>14</v>
      </c>
      <c r="P85" t="s">
        <v>369</v>
      </c>
      <c r="Q85" t="s">
        <v>370</v>
      </c>
      <c r="R85">
        <v>2017</v>
      </c>
      <c r="S85" t="s">
        <v>371</v>
      </c>
      <c r="U85" t="s">
        <v>372</v>
      </c>
      <c r="V85" t="s">
        <v>373</v>
      </c>
      <c r="W85" t="s">
        <v>170</v>
      </c>
      <c r="X85" t="s">
        <v>171</v>
      </c>
      <c r="Y85" t="s">
        <v>311</v>
      </c>
      <c r="Z85" t="s">
        <v>312</v>
      </c>
      <c r="AA85" t="s">
        <v>313</v>
      </c>
      <c r="AB85" t="s">
        <v>314</v>
      </c>
      <c r="AC85" t="s">
        <v>315</v>
      </c>
      <c r="AD85" t="s">
        <v>132</v>
      </c>
      <c r="AE85" t="s">
        <v>316</v>
      </c>
      <c r="AF85" t="s">
        <v>100</v>
      </c>
      <c r="AG85" t="s">
        <v>261</v>
      </c>
      <c r="AH85" t="s">
        <v>102</v>
      </c>
      <c r="AI85" t="s">
        <v>134</v>
      </c>
      <c r="AJ85" t="s">
        <v>135</v>
      </c>
      <c r="AM85" t="s">
        <v>178</v>
      </c>
      <c r="AN85" t="s">
        <v>106</v>
      </c>
      <c r="AO85">
        <f>(56.1832388889+55.735+58.9346944444)/3</f>
        <v>56.950977777766667</v>
      </c>
      <c r="AP85">
        <f>(10.6504694444+13.1527777778+17.6559722222)/3</f>
        <v>13.8197398148</v>
      </c>
      <c r="AQ85">
        <f>(7+21+8)/3</f>
        <v>12</v>
      </c>
      <c r="AR85" t="s">
        <v>317</v>
      </c>
      <c r="AS85">
        <v>2014</v>
      </c>
      <c r="AW85" t="s">
        <v>108</v>
      </c>
      <c r="AZ85" t="s">
        <v>109</v>
      </c>
      <c r="BA85" t="s">
        <v>180</v>
      </c>
      <c r="BB85">
        <v>20</v>
      </c>
      <c r="BC85">
        <v>24</v>
      </c>
      <c r="BE85" t="s">
        <v>139</v>
      </c>
      <c r="BG85">
        <v>0.3</v>
      </c>
      <c r="BP85">
        <v>14</v>
      </c>
      <c r="BU85" t="s">
        <v>376</v>
      </c>
      <c r="BV85">
        <v>44.7149</v>
      </c>
      <c r="BW85">
        <v>0.61817860000000002</v>
      </c>
      <c r="BX85">
        <v>20</v>
      </c>
      <c r="BY85">
        <v>45.03463</v>
      </c>
      <c r="BZ85">
        <v>0.60015680000000005</v>
      </c>
      <c r="CA85">
        <v>20</v>
      </c>
      <c r="CB85" t="s">
        <v>113</v>
      </c>
      <c r="CC85" t="s">
        <v>375</v>
      </c>
    </row>
    <row r="86" spans="1:81" x14ac:dyDescent="0.25">
      <c r="A86" t="s">
        <v>81</v>
      </c>
      <c r="B86">
        <v>85</v>
      </c>
      <c r="C86">
        <v>24</v>
      </c>
      <c r="D86">
        <v>16</v>
      </c>
      <c r="E86">
        <v>24</v>
      </c>
      <c r="F86">
        <v>26</v>
      </c>
      <c r="G86">
        <v>48</v>
      </c>
      <c r="H86">
        <v>77</v>
      </c>
      <c r="J86" t="s">
        <v>338</v>
      </c>
      <c r="L86" t="s">
        <v>377</v>
      </c>
      <c r="M86" t="s">
        <v>85</v>
      </c>
      <c r="O86" t="s">
        <v>14</v>
      </c>
      <c r="P86" t="s">
        <v>378</v>
      </c>
      <c r="Q86" t="s">
        <v>379</v>
      </c>
      <c r="R86">
        <v>2018</v>
      </c>
      <c r="S86" t="s">
        <v>380</v>
      </c>
      <c r="U86" t="s">
        <v>381</v>
      </c>
      <c r="V86" t="s">
        <v>382</v>
      </c>
      <c r="W86" t="s">
        <v>170</v>
      </c>
      <c r="X86" t="s">
        <v>171</v>
      </c>
      <c r="Y86" t="s">
        <v>311</v>
      </c>
      <c r="Z86" t="s">
        <v>312</v>
      </c>
      <c r="AA86" t="s">
        <v>313</v>
      </c>
      <c r="AB86" t="s">
        <v>314</v>
      </c>
      <c r="AC86" t="s">
        <v>315</v>
      </c>
      <c r="AD86" t="s">
        <v>132</v>
      </c>
      <c r="AE86" t="s">
        <v>316</v>
      </c>
      <c r="AF86" t="s">
        <v>100</v>
      </c>
      <c r="AG86" t="s">
        <v>261</v>
      </c>
      <c r="AH86" t="s">
        <v>102</v>
      </c>
      <c r="AI86" t="s">
        <v>134</v>
      </c>
      <c r="AJ86" t="s">
        <v>135</v>
      </c>
      <c r="AM86" t="s">
        <v>178</v>
      </c>
      <c r="AN86" t="s">
        <v>106</v>
      </c>
      <c r="AO86">
        <f>(56.1083888889+55.765+57.6077388889)/3</f>
        <v>56.493709259266666</v>
      </c>
      <c r="AP86">
        <f>(10.2033694444+8.9711111111+10.23435)/3</f>
        <v>9.8029435184999993</v>
      </c>
      <c r="AQ86">
        <f>(70+43+1)/3</f>
        <v>38</v>
      </c>
      <c r="AR86" t="s">
        <v>317</v>
      </c>
      <c r="AS86">
        <v>2014</v>
      </c>
      <c r="AW86" t="s">
        <v>108</v>
      </c>
      <c r="AZ86" t="s">
        <v>109</v>
      </c>
      <c r="BA86" t="s">
        <v>180</v>
      </c>
      <c r="BB86">
        <v>20</v>
      </c>
      <c r="BC86">
        <v>24</v>
      </c>
      <c r="BE86" t="s">
        <v>139</v>
      </c>
      <c r="BG86">
        <v>0.3</v>
      </c>
      <c r="BP86">
        <v>14</v>
      </c>
      <c r="BU86" t="s">
        <v>383</v>
      </c>
      <c r="BV86">
        <v>45.462760000000003</v>
      </c>
      <c r="BW86">
        <v>0.48370999999999997</v>
      </c>
      <c r="BX86">
        <v>20</v>
      </c>
      <c r="BY86">
        <v>45.742179999999998</v>
      </c>
      <c r="BZ86">
        <v>0.47215089999999998</v>
      </c>
      <c r="CA86">
        <v>14</v>
      </c>
      <c r="CB86" t="s">
        <v>113</v>
      </c>
      <c r="CC86" t="s">
        <v>384</v>
      </c>
    </row>
    <row r="87" spans="1:81" x14ac:dyDescent="0.25">
      <c r="A87" t="s">
        <v>81</v>
      </c>
      <c r="B87">
        <v>86</v>
      </c>
      <c r="C87">
        <v>25</v>
      </c>
      <c r="D87">
        <v>15</v>
      </c>
      <c r="E87">
        <v>22</v>
      </c>
      <c r="F87">
        <v>24</v>
      </c>
      <c r="G87">
        <v>49</v>
      </c>
      <c r="H87">
        <v>78</v>
      </c>
      <c r="I87" t="s">
        <v>385</v>
      </c>
      <c r="J87" t="s">
        <v>304</v>
      </c>
      <c r="L87" t="s">
        <v>386</v>
      </c>
      <c r="M87" t="s">
        <v>85</v>
      </c>
      <c r="O87" t="s">
        <v>14</v>
      </c>
      <c r="P87" t="s">
        <v>387</v>
      </c>
      <c r="Q87" t="s">
        <v>388</v>
      </c>
      <c r="R87">
        <v>2018</v>
      </c>
      <c r="S87" t="s">
        <v>371</v>
      </c>
      <c r="U87" t="s">
        <v>389</v>
      </c>
      <c r="V87" t="s">
        <v>390</v>
      </c>
      <c r="W87" t="s">
        <v>170</v>
      </c>
      <c r="X87" t="s">
        <v>171</v>
      </c>
      <c r="Y87" t="s">
        <v>311</v>
      </c>
      <c r="Z87" t="s">
        <v>312</v>
      </c>
      <c r="AA87" t="s">
        <v>313</v>
      </c>
      <c r="AB87" t="s">
        <v>314</v>
      </c>
      <c r="AC87" t="s">
        <v>315</v>
      </c>
      <c r="AD87" t="s">
        <v>132</v>
      </c>
      <c r="AE87" t="s">
        <v>316</v>
      </c>
      <c r="AF87" t="s">
        <v>100</v>
      </c>
      <c r="AG87" t="s">
        <v>261</v>
      </c>
      <c r="AH87" t="s">
        <v>102</v>
      </c>
      <c r="AI87" t="s">
        <v>134</v>
      </c>
      <c r="AJ87" t="s">
        <v>135</v>
      </c>
      <c r="AM87" t="s">
        <v>178</v>
      </c>
      <c r="AN87" t="s">
        <v>106</v>
      </c>
      <c r="AO87">
        <f>(43.6379472222+44.1504166667+43.1691833333)/3</f>
        <v>43.652515740733328</v>
      </c>
      <c r="AP87">
        <f>(4.8469583333+4.8556555556+6.2698222222)/3</f>
        <v>5.3241453703666668</v>
      </c>
      <c r="AQ87">
        <f>(30+56+85)/3</f>
        <v>57</v>
      </c>
      <c r="AR87" t="s">
        <v>317</v>
      </c>
      <c r="AS87">
        <v>2014</v>
      </c>
      <c r="AW87" t="s">
        <v>108</v>
      </c>
      <c r="AZ87" t="s">
        <v>109</v>
      </c>
      <c r="BA87" t="s">
        <v>180</v>
      </c>
      <c r="BB87">
        <v>20</v>
      </c>
      <c r="BC87">
        <v>24</v>
      </c>
      <c r="BE87" t="s">
        <v>139</v>
      </c>
      <c r="BG87">
        <v>0.3</v>
      </c>
      <c r="BP87">
        <v>14</v>
      </c>
      <c r="BU87" t="s">
        <v>391</v>
      </c>
      <c r="BV87">
        <v>44.361319999999999</v>
      </c>
      <c r="BW87">
        <v>0.7373229</v>
      </c>
      <c r="BX87">
        <v>39</v>
      </c>
      <c r="BY87">
        <v>44.980150000000002</v>
      </c>
      <c r="BZ87">
        <v>0.72501349999999998</v>
      </c>
      <c r="CA87">
        <v>33</v>
      </c>
      <c r="CB87" t="s">
        <v>113</v>
      </c>
      <c r="CC87" t="s">
        <v>392</v>
      </c>
    </row>
    <row r="88" spans="1:81" x14ac:dyDescent="0.25">
      <c r="A88" t="s">
        <v>81</v>
      </c>
      <c r="B88">
        <v>87</v>
      </c>
      <c r="C88">
        <v>25</v>
      </c>
      <c r="D88">
        <v>15</v>
      </c>
      <c r="E88">
        <v>22</v>
      </c>
      <c r="F88">
        <v>24</v>
      </c>
      <c r="G88">
        <v>50</v>
      </c>
      <c r="H88">
        <v>79</v>
      </c>
      <c r="I88" t="s">
        <v>385</v>
      </c>
      <c r="J88" t="s">
        <v>304</v>
      </c>
      <c r="L88" t="s">
        <v>386</v>
      </c>
      <c r="M88" t="s">
        <v>85</v>
      </c>
      <c r="O88" t="s">
        <v>14</v>
      </c>
      <c r="P88" t="s">
        <v>387</v>
      </c>
      <c r="Q88" t="s">
        <v>388</v>
      </c>
      <c r="R88">
        <v>2018</v>
      </c>
      <c r="S88" t="s">
        <v>371</v>
      </c>
      <c r="U88" t="s">
        <v>389</v>
      </c>
      <c r="V88" t="s">
        <v>390</v>
      </c>
      <c r="W88" t="s">
        <v>170</v>
      </c>
      <c r="X88" t="s">
        <v>171</v>
      </c>
      <c r="Y88" t="s">
        <v>311</v>
      </c>
      <c r="Z88" t="s">
        <v>312</v>
      </c>
      <c r="AA88" t="s">
        <v>313</v>
      </c>
      <c r="AB88" t="s">
        <v>314</v>
      </c>
      <c r="AC88" t="s">
        <v>315</v>
      </c>
      <c r="AD88" t="s">
        <v>132</v>
      </c>
      <c r="AE88" t="s">
        <v>316</v>
      </c>
      <c r="AF88" t="s">
        <v>100</v>
      </c>
      <c r="AG88" t="s">
        <v>261</v>
      </c>
      <c r="AH88" t="s">
        <v>102</v>
      </c>
      <c r="AI88" t="s">
        <v>134</v>
      </c>
      <c r="AJ88" t="s">
        <v>135</v>
      </c>
      <c r="AM88" t="s">
        <v>178</v>
      </c>
      <c r="AN88" t="s">
        <v>106</v>
      </c>
      <c r="AO88">
        <f>(43.6379472222+44.1504166667+43.1691833333)/3</f>
        <v>43.652515740733328</v>
      </c>
      <c r="AP88">
        <f>(4.8469583333+4.8556555556+6.2698222222)/3</f>
        <v>5.3241453703666668</v>
      </c>
      <c r="AQ88">
        <f>(30+56+85)/3</f>
        <v>57</v>
      </c>
      <c r="AR88" t="s">
        <v>317</v>
      </c>
      <c r="AS88">
        <v>2014</v>
      </c>
      <c r="AW88" t="s">
        <v>108</v>
      </c>
      <c r="AZ88" t="s">
        <v>109</v>
      </c>
      <c r="BA88" t="s">
        <v>180</v>
      </c>
      <c r="BB88">
        <v>20</v>
      </c>
      <c r="BC88">
        <v>24</v>
      </c>
      <c r="BE88" t="s">
        <v>139</v>
      </c>
      <c r="BG88">
        <v>0.3</v>
      </c>
      <c r="BP88">
        <v>14</v>
      </c>
      <c r="BU88" t="s">
        <v>393</v>
      </c>
      <c r="BV88">
        <v>44.475320000000004</v>
      </c>
      <c r="BW88">
        <v>1.0253239000000001</v>
      </c>
      <c r="BX88">
        <v>66</v>
      </c>
      <c r="BY88">
        <v>44.927230000000002</v>
      </c>
      <c r="BZ88">
        <v>0.96643889999999999</v>
      </c>
      <c r="CA88">
        <v>46</v>
      </c>
      <c r="CB88" t="s">
        <v>113</v>
      </c>
      <c r="CC88" t="s">
        <v>392</v>
      </c>
    </row>
    <row r="89" spans="1:81" x14ac:dyDescent="0.25">
      <c r="A89" t="s">
        <v>81</v>
      </c>
      <c r="B89">
        <v>88</v>
      </c>
      <c r="C89">
        <v>25</v>
      </c>
      <c r="D89">
        <v>15</v>
      </c>
      <c r="E89">
        <v>23</v>
      </c>
      <c r="F89">
        <v>25</v>
      </c>
      <c r="G89">
        <v>51</v>
      </c>
      <c r="H89">
        <v>80</v>
      </c>
      <c r="I89" t="s">
        <v>385</v>
      </c>
      <c r="J89" t="s">
        <v>304</v>
      </c>
      <c r="L89" t="s">
        <v>386</v>
      </c>
      <c r="M89" t="s">
        <v>85</v>
      </c>
      <c r="O89" t="s">
        <v>14</v>
      </c>
      <c r="P89" t="s">
        <v>387</v>
      </c>
      <c r="Q89" t="s">
        <v>388</v>
      </c>
      <c r="R89">
        <v>2018</v>
      </c>
      <c r="S89" t="s">
        <v>371</v>
      </c>
      <c r="U89" t="s">
        <v>389</v>
      </c>
      <c r="V89" t="s">
        <v>390</v>
      </c>
      <c r="W89" t="s">
        <v>170</v>
      </c>
      <c r="X89" t="s">
        <v>171</v>
      </c>
      <c r="Y89" t="s">
        <v>311</v>
      </c>
      <c r="Z89" t="s">
        <v>312</v>
      </c>
      <c r="AA89" t="s">
        <v>313</v>
      </c>
      <c r="AB89" t="s">
        <v>314</v>
      </c>
      <c r="AC89" t="s">
        <v>315</v>
      </c>
      <c r="AD89" t="s">
        <v>132</v>
      </c>
      <c r="AE89" t="s">
        <v>316</v>
      </c>
      <c r="AF89" t="s">
        <v>100</v>
      </c>
      <c r="AG89" t="s">
        <v>261</v>
      </c>
      <c r="AH89" t="s">
        <v>102</v>
      </c>
      <c r="AI89" t="s">
        <v>134</v>
      </c>
      <c r="AJ89" t="s">
        <v>135</v>
      </c>
      <c r="AM89" t="s">
        <v>178</v>
      </c>
      <c r="AN89" t="s">
        <v>106</v>
      </c>
      <c r="AO89">
        <f>(56.1832388889+55.735+58.9346944444)/3</f>
        <v>56.950977777766667</v>
      </c>
      <c r="AP89">
        <f>(10.6504694444+13.1527777778+17.6559722222)/3</f>
        <v>13.8197398148</v>
      </c>
      <c r="AQ89">
        <f>(7+21+8)/3</f>
        <v>12</v>
      </c>
      <c r="AR89" t="s">
        <v>317</v>
      </c>
      <c r="AS89">
        <v>2014</v>
      </c>
      <c r="AW89" t="s">
        <v>108</v>
      </c>
      <c r="AZ89" t="s">
        <v>109</v>
      </c>
      <c r="BA89" t="s">
        <v>180</v>
      </c>
      <c r="BB89">
        <v>20</v>
      </c>
      <c r="BC89">
        <v>24</v>
      </c>
      <c r="BE89" t="s">
        <v>139</v>
      </c>
      <c r="BG89">
        <v>0.3</v>
      </c>
      <c r="BP89">
        <v>14</v>
      </c>
      <c r="BU89" t="s">
        <v>394</v>
      </c>
      <c r="BV89">
        <v>44.499749999999999</v>
      </c>
      <c r="BW89">
        <v>0.71217730000000001</v>
      </c>
      <c r="BX89">
        <v>34</v>
      </c>
      <c r="BY89">
        <v>44.83766</v>
      </c>
      <c r="BZ89">
        <v>0.69127329999999998</v>
      </c>
      <c r="CA89">
        <v>30</v>
      </c>
      <c r="CB89" t="s">
        <v>113</v>
      </c>
      <c r="CC89" t="s">
        <v>392</v>
      </c>
    </row>
    <row r="90" spans="1:81" x14ac:dyDescent="0.25">
      <c r="A90" t="s">
        <v>81</v>
      </c>
      <c r="B90">
        <v>89</v>
      </c>
      <c r="C90">
        <v>25</v>
      </c>
      <c r="D90">
        <v>15</v>
      </c>
      <c r="E90">
        <v>23</v>
      </c>
      <c r="F90">
        <v>25</v>
      </c>
      <c r="G90">
        <v>52</v>
      </c>
      <c r="H90">
        <v>81</v>
      </c>
      <c r="I90" t="s">
        <v>385</v>
      </c>
      <c r="J90" t="s">
        <v>304</v>
      </c>
      <c r="L90" t="s">
        <v>386</v>
      </c>
      <c r="M90" t="s">
        <v>85</v>
      </c>
      <c r="O90" t="s">
        <v>14</v>
      </c>
      <c r="P90" t="s">
        <v>387</v>
      </c>
      <c r="Q90" t="s">
        <v>388</v>
      </c>
      <c r="R90">
        <v>2018</v>
      </c>
      <c r="S90" t="s">
        <v>371</v>
      </c>
      <c r="U90" t="s">
        <v>389</v>
      </c>
      <c r="V90" t="s">
        <v>390</v>
      </c>
      <c r="W90" t="s">
        <v>170</v>
      </c>
      <c r="X90" t="s">
        <v>171</v>
      </c>
      <c r="Y90" t="s">
        <v>311</v>
      </c>
      <c r="Z90" t="s">
        <v>312</v>
      </c>
      <c r="AA90" t="s">
        <v>313</v>
      </c>
      <c r="AB90" t="s">
        <v>314</v>
      </c>
      <c r="AC90" t="s">
        <v>315</v>
      </c>
      <c r="AD90" t="s">
        <v>132</v>
      </c>
      <c r="AE90" t="s">
        <v>316</v>
      </c>
      <c r="AF90" t="s">
        <v>100</v>
      </c>
      <c r="AG90" t="s">
        <v>261</v>
      </c>
      <c r="AH90" t="s">
        <v>102</v>
      </c>
      <c r="AI90" t="s">
        <v>134</v>
      </c>
      <c r="AJ90" t="s">
        <v>135</v>
      </c>
      <c r="AM90" t="s">
        <v>178</v>
      </c>
      <c r="AN90" t="s">
        <v>106</v>
      </c>
      <c r="AO90">
        <f>(56.1832388889+55.735+58.9346944444)/3</f>
        <v>56.950977777766667</v>
      </c>
      <c r="AP90">
        <f>(10.6504694444+13.1527777778+17.6559722222)/3</f>
        <v>13.8197398148</v>
      </c>
      <c r="AQ90">
        <f>(7+21+8)/3</f>
        <v>12</v>
      </c>
      <c r="AR90" t="s">
        <v>317</v>
      </c>
      <c r="AS90">
        <v>2014</v>
      </c>
      <c r="AW90" t="s">
        <v>108</v>
      </c>
      <c r="AZ90" t="s">
        <v>109</v>
      </c>
      <c r="BA90" t="s">
        <v>180</v>
      </c>
      <c r="BB90">
        <v>20</v>
      </c>
      <c r="BC90">
        <v>24</v>
      </c>
      <c r="BE90" t="s">
        <v>139</v>
      </c>
      <c r="BG90">
        <v>0.3</v>
      </c>
      <c r="BP90">
        <v>14</v>
      </c>
      <c r="BU90" t="s">
        <v>395</v>
      </c>
      <c r="BV90">
        <v>44.703310000000002</v>
      </c>
      <c r="BW90">
        <v>0.9749255</v>
      </c>
      <c r="BX90">
        <v>56</v>
      </c>
      <c r="BY90">
        <v>44.882440000000003</v>
      </c>
      <c r="BZ90">
        <v>0.91195930000000003</v>
      </c>
      <c r="CA90">
        <v>49</v>
      </c>
      <c r="CB90" t="s">
        <v>113</v>
      </c>
      <c r="CC90" t="s">
        <v>392</v>
      </c>
    </row>
    <row r="91" spans="1:81" x14ac:dyDescent="0.25">
      <c r="A91" t="s">
        <v>81</v>
      </c>
      <c r="B91">
        <v>90</v>
      </c>
      <c r="C91">
        <v>27</v>
      </c>
      <c r="D91">
        <v>26</v>
      </c>
      <c r="E91">
        <v>24</v>
      </c>
      <c r="F91">
        <v>26</v>
      </c>
      <c r="G91">
        <v>53</v>
      </c>
      <c r="H91">
        <v>82</v>
      </c>
      <c r="J91" t="s">
        <v>338</v>
      </c>
      <c r="L91" t="s">
        <v>396</v>
      </c>
      <c r="M91" t="s">
        <v>85</v>
      </c>
      <c r="O91" t="s">
        <v>14</v>
      </c>
      <c r="P91" t="s">
        <v>397</v>
      </c>
      <c r="Q91" t="s">
        <v>398</v>
      </c>
      <c r="R91">
        <v>2019</v>
      </c>
      <c r="S91" t="s">
        <v>289</v>
      </c>
      <c r="U91" t="s">
        <v>399</v>
      </c>
      <c r="V91" t="s">
        <v>400</v>
      </c>
      <c r="W91" t="s">
        <v>91</v>
      </c>
      <c r="X91" t="s">
        <v>126</v>
      </c>
      <c r="Y91" t="s">
        <v>190</v>
      </c>
      <c r="Z91" t="s">
        <v>191</v>
      </c>
      <c r="AA91" t="s">
        <v>192</v>
      </c>
      <c r="AB91" t="s">
        <v>401</v>
      </c>
      <c r="AC91" t="s">
        <v>402</v>
      </c>
      <c r="AD91" t="s">
        <v>132</v>
      </c>
      <c r="AE91" t="s">
        <v>133</v>
      </c>
      <c r="AF91" t="s">
        <v>100</v>
      </c>
      <c r="AG91" t="s">
        <v>101</v>
      </c>
      <c r="AH91" t="s">
        <v>101</v>
      </c>
      <c r="AI91" t="s">
        <v>134</v>
      </c>
      <c r="AJ91" t="s">
        <v>104</v>
      </c>
      <c r="AM91" t="s">
        <v>403</v>
      </c>
      <c r="AN91" t="s">
        <v>106</v>
      </c>
      <c r="AW91" t="s">
        <v>108</v>
      </c>
      <c r="AZ91" t="s">
        <v>109</v>
      </c>
      <c r="BA91" t="s">
        <v>180</v>
      </c>
      <c r="BB91">
        <v>10</v>
      </c>
      <c r="BC91">
        <v>14</v>
      </c>
      <c r="BD91">
        <f t="shared" ref="BD91:BD98" si="3">(0.9+0.7)/2</f>
        <v>0.8</v>
      </c>
      <c r="BE91" t="s">
        <v>111</v>
      </c>
      <c r="BF91">
        <f>(17+25)/2</f>
        <v>21</v>
      </c>
      <c r="BG91">
        <v>0.3</v>
      </c>
      <c r="BM91">
        <f>(10.8+10.1)/2</f>
        <v>10.45</v>
      </c>
      <c r="BU91" t="s">
        <v>404</v>
      </c>
      <c r="BV91">
        <v>28.931619999999999</v>
      </c>
      <c r="BW91">
        <v>0.7179487</v>
      </c>
      <c r="BX91">
        <v>16</v>
      </c>
      <c r="BY91">
        <v>27.965810000000001</v>
      </c>
      <c r="BZ91">
        <v>0.85470089999999999</v>
      </c>
      <c r="CA91">
        <v>16</v>
      </c>
      <c r="CB91" t="s">
        <v>113</v>
      </c>
      <c r="CC91" t="s">
        <v>141</v>
      </c>
    </row>
    <row r="92" spans="1:81" x14ac:dyDescent="0.25">
      <c r="A92" t="s">
        <v>81</v>
      </c>
      <c r="B92">
        <v>91</v>
      </c>
      <c r="C92">
        <v>27</v>
      </c>
      <c r="D92">
        <v>26</v>
      </c>
      <c r="E92">
        <v>24</v>
      </c>
      <c r="F92">
        <v>26</v>
      </c>
      <c r="G92">
        <v>54</v>
      </c>
      <c r="H92">
        <v>83</v>
      </c>
      <c r="J92" t="s">
        <v>338</v>
      </c>
      <c r="L92" t="s">
        <v>396</v>
      </c>
      <c r="M92" t="s">
        <v>85</v>
      </c>
      <c r="O92" t="s">
        <v>14</v>
      </c>
      <c r="P92" t="s">
        <v>397</v>
      </c>
      <c r="Q92" t="s">
        <v>398</v>
      </c>
      <c r="R92">
        <v>2019</v>
      </c>
      <c r="S92" t="s">
        <v>289</v>
      </c>
      <c r="U92" t="s">
        <v>399</v>
      </c>
      <c r="V92" t="s">
        <v>400</v>
      </c>
      <c r="W92" t="s">
        <v>91</v>
      </c>
      <c r="X92" t="s">
        <v>126</v>
      </c>
      <c r="Y92" t="s">
        <v>190</v>
      </c>
      <c r="Z92" t="s">
        <v>191</v>
      </c>
      <c r="AA92" t="s">
        <v>192</v>
      </c>
      <c r="AB92" t="s">
        <v>401</v>
      </c>
      <c r="AC92" t="s">
        <v>402</v>
      </c>
      <c r="AD92" t="s">
        <v>132</v>
      </c>
      <c r="AE92" t="s">
        <v>133</v>
      </c>
      <c r="AF92" t="s">
        <v>100</v>
      </c>
      <c r="AG92" t="s">
        <v>101</v>
      </c>
      <c r="AH92" t="s">
        <v>101</v>
      </c>
      <c r="AI92" t="s">
        <v>134</v>
      </c>
      <c r="AJ92" t="s">
        <v>104</v>
      </c>
      <c r="AM92" t="s">
        <v>403</v>
      </c>
      <c r="AN92" t="s">
        <v>106</v>
      </c>
      <c r="AW92" t="s">
        <v>108</v>
      </c>
      <c r="AZ92" t="s">
        <v>109</v>
      </c>
      <c r="BA92" t="s">
        <v>180</v>
      </c>
      <c r="BB92">
        <v>10</v>
      </c>
      <c r="BC92">
        <v>14</v>
      </c>
      <c r="BD92">
        <f t="shared" si="3"/>
        <v>0.8</v>
      </c>
      <c r="BE92" t="s">
        <v>111</v>
      </c>
      <c r="BF92">
        <f>(21+29)/2</f>
        <v>25</v>
      </c>
      <c r="BG92">
        <v>0.3</v>
      </c>
      <c r="BM92">
        <f>(5.5+5.9)/2</f>
        <v>5.7</v>
      </c>
      <c r="BU92" t="s">
        <v>405</v>
      </c>
      <c r="BV92">
        <v>30.615379999999998</v>
      </c>
      <c r="BW92">
        <v>1.3675214</v>
      </c>
      <c r="BX92">
        <v>16</v>
      </c>
      <c r="BY92">
        <v>30.66667</v>
      </c>
      <c r="BZ92">
        <v>0.88888889999999998</v>
      </c>
      <c r="CA92">
        <v>16</v>
      </c>
      <c r="CB92" t="s">
        <v>113</v>
      </c>
      <c r="CC92" t="s">
        <v>141</v>
      </c>
    </row>
    <row r="93" spans="1:81" x14ac:dyDescent="0.25">
      <c r="A93" t="s">
        <v>81</v>
      </c>
      <c r="B93">
        <v>92</v>
      </c>
      <c r="C93">
        <v>27</v>
      </c>
      <c r="D93">
        <v>26</v>
      </c>
      <c r="E93">
        <v>24</v>
      </c>
      <c r="F93">
        <v>26</v>
      </c>
      <c r="G93">
        <v>55</v>
      </c>
      <c r="H93">
        <v>84</v>
      </c>
      <c r="J93" t="s">
        <v>338</v>
      </c>
      <c r="L93" t="s">
        <v>396</v>
      </c>
      <c r="M93" t="s">
        <v>85</v>
      </c>
      <c r="O93" t="s">
        <v>14</v>
      </c>
      <c r="P93" t="s">
        <v>397</v>
      </c>
      <c r="Q93" t="s">
        <v>398</v>
      </c>
      <c r="R93">
        <v>2019</v>
      </c>
      <c r="S93" t="s">
        <v>289</v>
      </c>
      <c r="U93" t="s">
        <v>399</v>
      </c>
      <c r="V93" t="s">
        <v>400</v>
      </c>
      <c r="W93" t="s">
        <v>91</v>
      </c>
      <c r="X93" t="s">
        <v>126</v>
      </c>
      <c r="Y93" t="s">
        <v>190</v>
      </c>
      <c r="Z93" t="s">
        <v>191</v>
      </c>
      <c r="AA93" t="s">
        <v>192</v>
      </c>
      <c r="AB93" t="s">
        <v>401</v>
      </c>
      <c r="AC93" t="s">
        <v>402</v>
      </c>
      <c r="AD93" t="s">
        <v>132</v>
      </c>
      <c r="AE93" t="s">
        <v>133</v>
      </c>
      <c r="AF93" t="s">
        <v>100</v>
      </c>
      <c r="AG93" t="s">
        <v>101</v>
      </c>
      <c r="AH93" t="s">
        <v>101</v>
      </c>
      <c r="AI93" t="s">
        <v>134</v>
      </c>
      <c r="AJ93" t="s">
        <v>104</v>
      </c>
      <c r="AM93" t="s">
        <v>403</v>
      </c>
      <c r="AN93" t="s">
        <v>106</v>
      </c>
      <c r="AW93" t="s">
        <v>108</v>
      </c>
      <c r="AZ93" t="s">
        <v>109</v>
      </c>
      <c r="BA93" t="s">
        <v>180</v>
      </c>
      <c r="BB93">
        <v>10</v>
      </c>
      <c r="BC93">
        <v>14</v>
      </c>
      <c r="BD93">
        <f t="shared" si="3"/>
        <v>0.8</v>
      </c>
      <c r="BE93" t="s">
        <v>111</v>
      </c>
      <c r="BF93">
        <f>(26+36)/2</f>
        <v>31</v>
      </c>
      <c r="BG93">
        <v>0.3</v>
      </c>
      <c r="BM93">
        <f>(10.8+10.1)/2</f>
        <v>10.45</v>
      </c>
      <c r="BU93" t="s">
        <v>406</v>
      </c>
      <c r="BV93">
        <v>29.623930000000001</v>
      </c>
      <c r="BW93">
        <v>0.78632480000000005</v>
      </c>
      <c r="BX93">
        <v>16</v>
      </c>
      <c r="BY93">
        <v>30.401710000000001</v>
      </c>
      <c r="BZ93">
        <v>1.2307691999999999</v>
      </c>
      <c r="CA93">
        <v>16</v>
      </c>
      <c r="CB93" t="s">
        <v>113</v>
      </c>
      <c r="CC93" t="s">
        <v>141</v>
      </c>
    </row>
    <row r="94" spans="1:81" x14ac:dyDescent="0.25">
      <c r="A94" t="s">
        <v>81</v>
      </c>
      <c r="B94">
        <v>93</v>
      </c>
      <c r="C94">
        <v>27</v>
      </c>
      <c r="D94">
        <v>26</v>
      </c>
      <c r="E94">
        <v>24</v>
      </c>
      <c r="F94">
        <v>26</v>
      </c>
      <c r="G94">
        <v>56</v>
      </c>
      <c r="H94">
        <v>85</v>
      </c>
      <c r="J94" t="s">
        <v>338</v>
      </c>
      <c r="L94" t="s">
        <v>396</v>
      </c>
      <c r="M94" t="s">
        <v>85</v>
      </c>
      <c r="O94" t="s">
        <v>14</v>
      </c>
      <c r="P94" t="s">
        <v>397</v>
      </c>
      <c r="Q94" t="s">
        <v>398</v>
      </c>
      <c r="R94">
        <v>2019</v>
      </c>
      <c r="S94" t="s">
        <v>289</v>
      </c>
      <c r="U94" t="s">
        <v>399</v>
      </c>
      <c r="V94" t="s">
        <v>400</v>
      </c>
      <c r="W94" t="s">
        <v>91</v>
      </c>
      <c r="X94" t="s">
        <v>126</v>
      </c>
      <c r="Y94" t="s">
        <v>190</v>
      </c>
      <c r="Z94" t="s">
        <v>191</v>
      </c>
      <c r="AA94" t="s">
        <v>192</v>
      </c>
      <c r="AB94" t="s">
        <v>401</v>
      </c>
      <c r="AC94" t="s">
        <v>402</v>
      </c>
      <c r="AD94" t="s">
        <v>132</v>
      </c>
      <c r="AE94" t="s">
        <v>133</v>
      </c>
      <c r="AF94" t="s">
        <v>100</v>
      </c>
      <c r="AG94" t="s">
        <v>101</v>
      </c>
      <c r="AH94" t="s">
        <v>101</v>
      </c>
      <c r="AI94" t="s">
        <v>134</v>
      </c>
      <c r="AJ94" t="s">
        <v>104</v>
      </c>
      <c r="AM94" t="s">
        <v>403</v>
      </c>
      <c r="AN94" t="s">
        <v>106</v>
      </c>
      <c r="AW94" t="s">
        <v>108</v>
      </c>
      <c r="AZ94" t="s">
        <v>109</v>
      </c>
      <c r="BA94" t="s">
        <v>180</v>
      </c>
      <c r="BB94">
        <v>10</v>
      </c>
      <c r="BC94">
        <v>14</v>
      </c>
      <c r="BD94">
        <f t="shared" si="3"/>
        <v>0.8</v>
      </c>
      <c r="BE94" t="s">
        <v>111</v>
      </c>
      <c r="BF94">
        <f>(30+41)/2</f>
        <v>35.5</v>
      </c>
      <c r="BG94">
        <v>0.3</v>
      </c>
      <c r="BM94">
        <f>(5.5+5.9)/2</f>
        <v>5.7</v>
      </c>
      <c r="BU94" t="s">
        <v>407</v>
      </c>
      <c r="BV94">
        <v>32.77778</v>
      </c>
      <c r="BW94">
        <v>0.44444440000000002</v>
      </c>
      <c r="BX94">
        <v>16</v>
      </c>
      <c r="BY94">
        <v>30.683759999999999</v>
      </c>
      <c r="BZ94">
        <v>0.47863250000000002</v>
      </c>
      <c r="CA94">
        <v>16</v>
      </c>
      <c r="CB94" t="s">
        <v>113</v>
      </c>
      <c r="CC94" t="s">
        <v>141</v>
      </c>
    </row>
    <row r="95" spans="1:81" x14ac:dyDescent="0.25">
      <c r="A95" t="s">
        <v>81</v>
      </c>
      <c r="B95">
        <v>94</v>
      </c>
      <c r="C95">
        <v>27</v>
      </c>
      <c r="D95">
        <v>26</v>
      </c>
      <c r="E95">
        <v>24</v>
      </c>
      <c r="F95">
        <v>26</v>
      </c>
      <c r="G95">
        <v>57</v>
      </c>
      <c r="H95">
        <v>86</v>
      </c>
      <c r="J95" t="s">
        <v>338</v>
      </c>
      <c r="L95" t="s">
        <v>396</v>
      </c>
      <c r="M95" t="s">
        <v>85</v>
      </c>
      <c r="O95" t="s">
        <v>14</v>
      </c>
      <c r="P95" t="s">
        <v>397</v>
      </c>
      <c r="Q95" t="s">
        <v>398</v>
      </c>
      <c r="R95">
        <v>2019</v>
      </c>
      <c r="S95" t="s">
        <v>289</v>
      </c>
      <c r="U95" t="s">
        <v>399</v>
      </c>
      <c r="V95" t="s">
        <v>400</v>
      </c>
      <c r="W95" t="s">
        <v>91</v>
      </c>
      <c r="X95" t="s">
        <v>126</v>
      </c>
      <c r="Y95" t="s">
        <v>190</v>
      </c>
      <c r="Z95" t="s">
        <v>191</v>
      </c>
      <c r="AA95" t="s">
        <v>192</v>
      </c>
      <c r="AB95" t="s">
        <v>401</v>
      </c>
      <c r="AC95" t="s">
        <v>402</v>
      </c>
      <c r="AD95" t="s">
        <v>132</v>
      </c>
      <c r="AE95" t="s">
        <v>133</v>
      </c>
      <c r="AF95" t="s">
        <v>100</v>
      </c>
      <c r="AG95" t="s">
        <v>261</v>
      </c>
      <c r="AH95" t="s">
        <v>102</v>
      </c>
      <c r="AI95" t="s">
        <v>134</v>
      </c>
      <c r="AJ95" t="s">
        <v>135</v>
      </c>
      <c r="AM95" t="s">
        <v>178</v>
      </c>
      <c r="AN95" t="s">
        <v>106</v>
      </c>
      <c r="AV95">
        <v>1</v>
      </c>
      <c r="AW95" t="s">
        <v>108</v>
      </c>
      <c r="AZ95" t="s">
        <v>109</v>
      </c>
      <c r="BA95" t="s">
        <v>138</v>
      </c>
      <c r="BB95">
        <v>10</v>
      </c>
      <c r="BC95">
        <v>14</v>
      </c>
      <c r="BD95">
        <f t="shared" si="3"/>
        <v>0.8</v>
      </c>
      <c r="BE95" t="s">
        <v>111</v>
      </c>
      <c r="BF95">
        <f>(35+42)/2</f>
        <v>38.5</v>
      </c>
      <c r="BG95">
        <v>0.3</v>
      </c>
      <c r="BM95">
        <f>(10.8+10.1)/2</f>
        <v>10.45</v>
      </c>
      <c r="BU95" t="s">
        <v>408</v>
      </c>
      <c r="BV95">
        <v>28.752140000000001</v>
      </c>
      <c r="BW95">
        <v>0.59584360000000003</v>
      </c>
      <c r="BX95">
        <v>15</v>
      </c>
      <c r="BY95">
        <v>29.683759999999999</v>
      </c>
      <c r="BZ95">
        <v>0.44444440000000002</v>
      </c>
      <c r="CA95">
        <v>16</v>
      </c>
      <c r="CB95" t="s">
        <v>113</v>
      </c>
      <c r="CC95" t="s">
        <v>141</v>
      </c>
    </row>
    <row r="96" spans="1:81" x14ac:dyDescent="0.25">
      <c r="A96" t="s">
        <v>81</v>
      </c>
      <c r="B96">
        <v>95</v>
      </c>
      <c r="C96">
        <v>27</v>
      </c>
      <c r="D96">
        <v>26</v>
      </c>
      <c r="E96">
        <v>24</v>
      </c>
      <c r="F96">
        <v>26</v>
      </c>
      <c r="G96">
        <v>58</v>
      </c>
      <c r="H96">
        <v>87</v>
      </c>
      <c r="J96" t="s">
        <v>338</v>
      </c>
      <c r="L96" t="s">
        <v>396</v>
      </c>
      <c r="M96" t="s">
        <v>85</v>
      </c>
      <c r="O96" t="s">
        <v>14</v>
      </c>
      <c r="P96" t="s">
        <v>397</v>
      </c>
      <c r="Q96" t="s">
        <v>398</v>
      </c>
      <c r="R96">
        <v>2019</v>
      </c>
      <c r="S96" t="s">
        <v>289</v>
      </c>
      <c r="U96" t="s">
        <v>399</v>
      </c>
      <c r="V96" t="s">
        <v>400</v>
      </c>
      <c r="W96" t="s">
        <v>91</v>
      </c>
      <c r="X96" t="s">
        <v>126</v>
      </c>
      <c r="Y96" t="s">
        <v>190</v>
      </c>
      <c r="Z96" t="s">
        <v>191</v>
      </c>
      <c r="AA96" t="s">
        <v>192</v>
      </c>
      <c r="AB96" t="s">
        <v>401</v>
      </c>
      <c r="AC96" t="s">
        <v>402</v>
      </c>
      <c r="AD96" t="s">
        <v>132</v>
      </c>
      <c r="AE96" t="s">
        <v>133</v>
      </c>
      <c r="AF96" t="s">
        <v>100</v>
      </c>
      <c r="AG96" t="s">
        <v>261</v>
      </c>
      <c r="AH96" t="s">
        <v>102</v>
      </c>
      <c r="AI96" t="s">
        <v>134</v>
      </c>
      <c r="AJ96" t="s">
        <v>135</v>
      </c>
      <c r="AM96" t="s">
        <v>178</v>
      </c>
      <c r="AN96" t="s">
        <v>106</v>
      </c>
      <c r="AV96">
        <v>1</v>
      </c>
      <c r="AW96" t="s">
        <v>108</v>
      </c>
      <c r="AZ96" t="s">
        <v>109</v>
      </c>
      <c r="BA96" t="s">
        <v>138</v>
      </c>
      <c r="BB96">
        <v>10</v>
      </c>
      <c r="BC96">
        <v>14</v>
      </c>
      <c r="BD96">
        <f t="shared" si="3"/>
        <v>0.8</v>
      </c>
      <c r="BE96" t="s">
        <v>111</v>
      </c>
      <c r="BF96">
        <f>(36+48)/2</f>
        <v>42</v>
      </c>
      <c r="BG96">
        <v>0.3</v>
      </c>
      <c r="BM96">
        <f>(5.5+5.9)/2</f>
        <v>5.7</v>
      </c>
      <c r="BU96" t="s">
        <v>409</v>
      </c>
      <c r="BV96">
        <v>29.22222</v>
      </c>
      <c r="BW96">
        <v>0.64957259999999994</v>
      </c>
      <c r="BX96">
        <v>16</v>
      </c>
      <c r="BY96">
        <v>28.384620000000002</v>
      </c>
      <c r="BZ96">
        <v>0.7179487</v>
      </c>
      <c r="CA96">
        <v>16</v>
      </c>
      <c r="CB96" t="s">
        <v>113</v>
      </c>
      <c r="CC96" t="s">
        <v>141</v>
      </c>
    </row>
    <row r="97" spans="1:81" x14ac:dyDescent="0.25">
      <c r="A97" t="s">
        <v>81</v>
      </c>
      <c r="B97">
        <v>96</v>
      </c>
      <c r="C97">
        <v>27</v>
      </c>
      <c r="D97">
        <v>26</v>
      </c>
      <c r="E97">
        <v>24</v>
      </c>
      <c r="F97">
        <v>26</v>
      </c>
      <c r="G97">
        <v>59</v>
      </c>
      <c r="H97">
        <v>88</v>
      </c>
      <c r="J97" t="s">
        <v>338</v>
      </c>
      <c r="L97" t="s">
        <v>396</v>
      </c>
      <c r="M97" t="s">
        <v>85</v>
      </c>
      <c r="O97" t="s">
        <v>14</v>
      </c>
      <c r="P97" t="s">
        <v>397</v>
      </c>
      <c r="Q97" t="s">
        <v>398</v>
      </c>
      <c r="R97">
        <v>2019</v>
      </c>
      <c r="S97" t="s">
        <v>289</v>
      </c>
      <c r="U97" t="s">
        <v>399</v>
      </c>
      <c r="V97" t="s">
        <v>400</v>
      </c>
      <c r="W97" t="s">
        <v>91</v>
      </c>
      <c r="X97" t="s">
        <v>126</v>
      </c>
      <c r="Y97" t="s">
        <v>190</v>
      </c>
      <c r="Z97" t="s">
        <v>191</v>
      </c>
      <c r="AA97" t="s">
        <v>192</v>
      </c>
      <c r="AB97" t="s">
        <v>401</v>
      </c>
      <c r="AC97" t="s">
        <v>402</v>
      </c>
      <c r="AD97" t="s">
        <v>132</v>
      </c>
      <c r="AE97" t="s">
        <v>133</v>
      </c>
      <c r="AF97" t="s">
        <v>100</v>
      </c>
      <c r="AG97" t="s">
        <v>261</v>
      </c>
      <c r="AH97" t="s">
        <v>102</v>
      </c>
      <c r="AI97" t="s">
        <v>134</v>
      </c>
      <c r="AJ97" t="s">
        <v>135</v>
      </c>
      <c r="AM97" t="s">
        <v>178</v>
      </c>
      <c r="AN97" t="s">
        <v>106</v>
      </c>
      <c r="AV97">
        <f>((64-35)+(75-42))/2</f>
        <v>31</v>
      </c>
      <c r="AW97" t="s">
        <v>108</v>
      </c>
      <c r="AZ97" t="s">
        <v>109</v>
      </c>
      <c r="BA97" t="s">
        <v>138</v>
      </c>
      <c r="BB97">
        <v>10</v>
      </c>
      <c r="BC97">
        <v>14</v>
      </c>
      <c r="BD97">
        <f t="shared" si="3"/>
        <v>0.8</v>
      </c>
      <c r="BE97" t="s">
        <v>111</v>
      </c>
      <c r="BF97">
        <f>(64+75)/2</f>
        <v>69.5</v>
      </c>
      <c r="BG97">
        <v>0.3</v>
      </c>
      <c r="BM97">
        <f>(10.8+10.1)/2</f>
        <v>10.45</v>
      </c>
      <c r="BU97" t="s">
        <v>410</v>
      </c>
      <c r="BV97">
        <v>28.367519999999999</v>
      </c>
      <c r="BW97">
        <v>1.025641</v>
      </c>
      <c r="BX97">
        <v>16</v>
      </c>
      <c r="BY97">
        <v>29.4359</v>
      </c>
      <c r="BZ97">
        <v>0.31426969999999999</v>
      </c>
      <c r="CA97">
        <v>8</v>
      </c>
      <c r="CB97" t="s">
        <v>113</v>
      </c>
      <c r="CC97" t="s">
        <v>141</v>
      </c>
    </row>
    <row r="98" spans="1:81" x14ac:dyDescent="0.25">
      <c r="A98" t="s">
        <v>81</v>
      </c>
      <c r="B98">
        <v>97</v>
      </c>
      <c r="C98">
        <v>27</v>
      </c>
      <c r="D98">
        <v>26</v>
      </c>
      <c r="E98">
        <v>24</v>
      </c>
      <c r="F98">
        <v>26</v>
      </c>
      <c r="G98">
        <v>60</v>
      </c>
      <c r="H98">
        <v>89</v>
      </c>
      <c r="J98" t="s">
        <v>338</v>
      </c>
      <c r="L98" t="s">
        <v>396</v>
      </c>
      <c r="M98" t="s">
        <v>85</v>
      </c>
      <c r="O98" t="s">
        <v>14</v>
      </c>
      <c r="P98" t="s">
        <v>397</v>
      </c>
      <c r="Q98" t="s">
        <v>398</v>
      </c>
      <c r="R98">
        <v>2019</v>
      </c>
      <c r="S98" t="s">
        <v>289</v>
      </c>
      <c r="U98" t="s">
        <v>399</v>
      </c>
      <c r="V98" t="s">
        <v>400</v>
      </c>
      <c r="W98" t="s">
        <v>91</v>
      </c>
      <c r="X98" t="s">
        <v>126</v>
      </c>
      <c r="Y98" t="s">
        <v>190</v>
      </c>
      <c r="Z98" t="s">
        <v>191</v>
      </c>
      <c r="AA98" t="s">
        <v>192</v>
      </c>
      <c r="AB98" t="s">
        <v>401</v>
      </c>
      <c r="AC98" t="s">
        <v>402</v>
      </c>
      <c r="AD98" t="s">
        <v>132</v>
      </c>
      <c r="AE98" t="s">
        <v>133</v>
      </c>
      <c r="AF98" t="s">
        <v>100</v>
      </c>
      <c r="AG98" t="s">
        <v>261</v>
      </c>
      <c r="AH98" t="s">
        <v>102</v>
      </c>
      <c r="AI98" t="s">
        <v>134</v>
      </c>
      <c r="AJ98" t="s">
        <v>135</v>
      </c>
      <c r="AM98" t="s">
        <v>178</v>
      </c>
      <c r="AN98" t="s">
        <v>106</v>
      </c>
      <c r="AV98">
        <f>((70-36)+(85-48))/2</f>
        <v>35.5</v>
      </c>
      <c r="AW98" t="s">
        <v>108</v>
      </c>
      <c r="AZ98" t="s">
        <v>109</v>
      </c>
      <c r="BA98" t="s">
        <v>138</v>
      </c>
      <c r="BB98">
        <v>10</v>
      </c>
      <c r="BC98">
        <v>14</v>
      </c>
      <c r="BD98">
        <f t="shared" si="3"/>
        <v>0.8</v>
      </c>
      <c r="BE98" t="s">
        <v>111</v>
      </c>
      <c r="BF98">
        <f>(70+85)/2</f>
        <v>77.5</v>
      </c>
      <c r="BG98">
        <v>0.3</v>
      </c>
      <c r="BM98">
        <f>(5.5+5.9)/2</f>
        <v>5.7</v>
      </c>
      <c r="BU98" t="s">
        <v>411</v>
      </c>
      <c r="BV98">
        <v>28.803419999999999</v>
      </c>
      <c r="BW98">
        <v>0.23931620000000001</v>
      </c>
      <c r="BX98">
        <v>16</v>
      </c>
      <c r="BY98">
        <v>29.33333</v>
      </c>
      <c r="BZ98">
        <v>0.30769229999999997</v>
      </c>
      <c r="CA98">
        <v>16</v>
      </c>
      <c r="CB98" t="s">
        <v>113</v>
      </c>
      <c r="CC98" t="s">
        <v>141</v>
      </c>
    </row>
    <row r="99" spans="1:81" x14ac:dyDescent="0.25">
      <c r="A99" t="s">
        <v>81</v>
      </c>
      <c r="B99">
        <v>98</v>
      </c>
      <c r="C99">
        <v>28</v>
      </c>
      <c r="D99">
        <v>27</v>
      </c>
      <c r="E99">
        <v>25</v>
      </c>
      <c r="F99">
        <v>27</v>
      </c>
      <c r="G99">
        <v>61</v>
      </c>
      <c r="H99">
        <v>90</v>
      </c>
      <c r="I99" t="s">
        <v>412</v>
      </c>
      <c r="J99" t="s">
        <v>413</v>
      </c>
      <c r="L99" t="s">
        <v>414</v>
      </c>
      <c r="M99" t="s">
        <v>85</v>
      </c>
      <c r="O99" t="s">
        <v>14</v>
      </c>
      <c r="P99" t="s">
        <v>415</v>
      </c>
      <c r="Q99" t="s">
        <v>416</v>
      </c>
      <c r="R99">
        <v>2016</v>
      </c>
      <c r="S99" t="s">
        <v>417</v>
      </c>
      <c r="U99" t="s">
        <v>418</v>
      </c>
      <c r="V99" t="s">
        <v>419</v>
      </c>
      <c r="W99" t="s">
        <v>91</v>
      </c>
      <c r="X99" t="s">
        <v>126</v>
      </c>
      <c r="Y99" t="s">
        <v>292</v>
      </c>
      <c r="Z99" t="s">
        <v>293</v>
      </c>
      <c r="AA99" t="s">
        <v>420</v>
      </c>
      <c r="AB99" t="s">
        <v>421</v>
      </c>
      <c r="AC99" t="s">
        <v>422</v>
      </c>
      <c r="AD99" t="s">
        <v>132</v>
      </c>
      <c r="AE99" t="s">
        <v>133</v>
      </c>
      <c r="AF99" t="s">
        <v>100</v>
      </c>
      <c r="AG99" t="s">
        <v>102</v>
      </c>
      <c r="AH99" t="s">
        <v>102</v>
      </c>
      <c r="AI99" t="s">
        <v>134</v>
      </c>
      <c r="AJ99" t="s">
        <v>135</v>
      </c>
      <c r="AM99" t="s">
        <v>136</v>
      </c>
      <c r="AN99" t="s">
        <v>242</v>
      </c>
      <c r="AT99">
        <f>(20+203)/2</f>
        <v>111.5</v>
      </c>
      <c r="AU99">
        <f>(4.768094+0.4469441)/2</f>
        <v>2.6075190499999996</v>
      </c>
      <c r="AW99" t="s">
        <v>108</v>
      </c>
      <c r="AX99">
        <v>17</v>
      </c>
      <c r="AY99" t="s">
        <v>103</v>
      </c>
      <c r="AZ99" t="s">
        <v>109</v>
      </c>
      <c r="BA99" t="s">
        <v>142</v>
      </c>
      <c r="BB99">
        <v>13</v>
      </c>
      <c r="BC99">
        <v>18</v>
      </c>
      <c r="BD99">
        <v>1</v>
      </c>
      <c r="BE99" t="s">
        <v>111</v>
      </c>
      <c r="BF99">
        <v>7</v>
      </c>
      <c r="BG99">
        <v>2</v>
      </c>
      <c r="BM99">
        <v>6</v>
      </c>
      <c r="BR99" t="s">
        <v>69</v>
      </c>
      <c r="BU99" t="s">
        <v>423</v>
      </c>
      <c r="BV99">
        <v>32.0008512</v>
      </c>
      <c r="BW99">
        <v>2.0242116999999999</v>
      </c>
      <c r="BX99">
        <v>24</v>
      </c>
      <c r="BY99">
        <v>33.396681299999997</v>
      </c>
      <c r="BZ99">
        <v>0.74673149999999999</v>
      </c>
      <c r="CA99">
        <v>11</v>
      </c>
      <c r="CB99" t="s">
        <v>113</v>
      </c>
      <c r="CC99" t="s">
        <v>141</v>
      </c>
    </row>
    <row r="100" spans="1:81" x14ac:dyDescent="0.25">
      <c r="A100" t="s">
        <v>81</v>
      </c>
      <c r="B100">
        <v>99</v>
      </c>
      <c r="C100">
        <v>28</v>
      </c>
      <c r="D100">
        <v>27</v>
      </c>
      <c r="E100">
        <v>25</v>
      </c>
      <c r="F100">
        <v>27</v>
      </c>
      <c r="G100">
        <v>61</v>
      </c>
      <c r="H100">
        <v>91</v>
      </c>
      <c r="I100" t="s">
        <v>412</v>
      </c>
      <c r="J100" t="s">
        <v>413</v>
      </c>
      <c r="L100" t="s">
        <v>414</v>
      </c>
      <c r="M100" t="s">
        <v>85</v>
      </c>
      <c r="O100" t="s">
        <v>14</v>
      </c>
      <c r="P100" t="s">
        <v>415</v>
      </c>
      <c r="Q100" t="s">
        <v>416</v>
      </c>
      <c r="R100">
        <v>2016</v>
      </c>
      <c r="S100" t="s">
        <v>417</v>
      </c>
      <c r="U100" t="s">
        <v>418</v>
      </c>
      <c r="V100" t="s">
        <v>419</v>
      </c>
      <c r="W100" t="s">
        <v>91</v>
      </c>
      <c r="X100" t="s">
        <v>126</v>
      </c>
      <c r="Y100" t="s">
        <v>292</v>
      </c>
      <c r="Z100" t="s">
        <v>293</v>
      </c>
      <c r="AA100" t="s">
        <v>420</v>
      </c>
      <c r="AB100" t="s">
        <v>421</v>
      </c>
      <c r="AC100" t="s">
        <v>422</v>
      </c>
      <c r="AD100" t="s">
        <v>132</v>
      </c>
      <c r="AE100" t="s">
        <v>133</v>
      </c>
      <c r="AF100" t="s">
        <v>100</v>
      </c>
      <c r="AG100" t="s">
        <v>102</v>
      </c>
      <c r="AH100" t="s">
        <v>102</v>
      </c>
      <c r="AI100" t="s">
        <v>134</v>
      </c>
      <c r="AJ100" t="s">
        <v>135</v>
      </c>
      <c r="AM100" t="s">
        <v>136</v>
      </c>
      <c r="AN100" t="s">
        <v>242</v>
      </c>
      <c r="AT100">
        <f>(20+203)/2</f>
        <v>111.5</v>
      </c>
      <c r="AU100">
        <f>(0.4469441+4.2577428)/2</f>
        <v>2.3523434499999998</v>
      </c>
      <c r="AW100" t="s">
        <v>108</v>
      </c>
      <c r="AX100">
        <v>17</v>
      </c>
      <c r="AY100" t="s">
        <v>103</v>
      </c>
      <c r="AZ100" t="s">
        <v>109</v>
      </c>
      <c r="BA100" t="s">
        <v>142</v>
      </c>
      <c r="BB100">
        <v>18</v>
      </c>
      <c r="BC100">
        <v>24</v>
      </c>
      <c r="BD100">
        <v>1</v>
      </c>
      <c r="BE100" t="s">
        <v>111</v>
      </c>
      <c r="BF100">
        <v>7</v>
      </c>
      <c r="BG100">
        <v>2</v>
      </c>
      <c r="BM100">
        <v>6</v>
      </c>
      <c r="BR100" t="s">
        <v>69</v>
      </c>
      <c r="BU100" t="s">
        <v>423</v>
      </c>
      <c r="BV100">
        <v>33.396681299999997</v>
      </c>
      <c r="BW100">
        <v>0.74673149999999999</v>
      </c>
      <c r="BX100">
        <v>11</v>
      </c>
      <c r="BY100">
        <v>34.612176300000002</v>
      </c>
      <c r="BZ100">
        <v>1.0067351</v>
      </c>
      <c r="CA100">
        <v>19</v>
      </c>
      <c r="CB100" t="s">
        <v>113</v>
      </c>
      <c r="CC100" t="s">
        <v>141</v>
      </c>
    </row>
    <row r="101" spans="1:81" x14ac:dyDescent="0.25">
      <c r="A101" t="s">
        <v>81</v>
      </c>
      <c r="B101">
        <v>100</v>
      </c>
      <c r="C101">
        <v>28</v>
      </c>
      <c r="D101">
        <v>28</v>
      </c>
      <c r="E101">
        <v>26</v>
      </c>
      <c r="F101">
        <v>28</v>
      </c>
      <c r="G101">
        <v>62</v>
      </c>
      <c r="H101">
        <v>92</v>
      </c>
      <c r="J101" t="s">
        <v>424</v>
      </c>
      <c r="L101" t="s">
        <v>425</v>
      </c>
      <c r="M101" t="s">
        <v>85</v>
      </c>
      <c r="O101" t="s">
        <v>14</v>
      </c>
      <c r="P101" t="s">
        <v>415</v>
      </c>
      <c r="Q101" t="s">
        <v>416</v>
      </c>
      <c r="R101">
        <v>2016</v>
      </c>
      <c r="S101" t="s">
        <v>417</v>
      </c>
      <c r="U101" t="s">
        <v>418</v>
      </c>
      <c r="V101" t="s">
        <v>419</v>
      </c>
      <c r="W101" t="s">
        <v>91</v>
      </c>
      <c r="X101" t="s">
        <v>126</v>
      </c>
      <c r="Y101" t="s">
        <v>292</v>
      </c>
      <c r="Z101" t="s">
        <v>293</v>
      </c>
      <c r="AA101" t="s">
        <v>420</v>
      </c>
      <c r="AB101" t="s">
        <v>426</v>
      </c>
      <c r="AC101" t="s">
        <v>427</v>
      </c>
      <c r="AD101" t="s">
        <v>132</v>
      </c>
      <c r="AE101" t="s">
        <v>133</v>
      </c>
      <c r="AF101" t="s">
        <v>100</v>
      </c>
      <c r="AG101" t="s">
        <v>102</v>
      </c>
      <c r="AH101" t="s">
        <v>102</v>
      </c>
      <c r="AI101" t="s">
        <v>134</v>
      </c>
      <c r="AJ101" t="s">
        <v>135</v>
      </c>
      <c r="AM101" t="s">
        <v>136</v>
      </c>
      <c r="AN101" t="s">
        <v>242</v>
      </c>
      <c r="AT101">
        <f>(37+217)/2</f>
        <v>127</v>
      </c>
      <c r="AU101">
        <f>(7.7261774+8.0407307)/2</f>
        <v>7.8834540499999992</v>
      </c>
      <c r="AW101" t="s">
        <v>108</v>
      </c>
      <c r="AX101">
        <v>17</v>
      </c>
      <c r="AY101" t="s">
        <v>103</v>
      </c>
      <c r="AZ101" t="s">
        <v>109</v>
      </c>
      <c r="BA101" t="s">
        <v>142</v>
      </c>
      <c r="BB101">
        <v>13</v>
      </c>
      <c r="BC101">
        <v>24</v>
      </c>
      <c r="BD101">
        <v>1</v>
      </c>
      <c r="BE101" t="s">
        <v>111</v>
      </c>
      <c r="BF101">
        <v>7</v>
      </c>
      <c r="BG101">
        <v>2</v>
      </c>
      <c r="BM101">
        <v>6</v>
      </c>
      <c r="BR101" t="s">
        <v>69</v>
      </c>
      <c r="BU101" t="s">
        <v>423</v>
      </c>
      <c r="BV101">
        <v>33.438501600000002</v>
      </c>
      <c r="BW101">
        <v>0.99063159999999995</v>
      </c>
      <c r="BX101">
        <v>13</v>
      </c>
      <c r="BY101">
        <v>35.083550299999999</v>
      </c>
      <c r="BZ101">
        <v>0.89094300000000004</v>
      </c>
      <c r="CA101">
        <v>12</v>
      </c>
      <c r="CB101" t="s">
        <v>113</v>
      </c>
      <c r="CC101" t="s">
        <v>141</v>
      </c>
    </row>
    <row r="102" spans="1:81" x14ac:dyDescent="0.25">
      <c r="A102" t="s">
        <v>81</v>
      </c>
      <c r="B102">
        <v>101</v>
      </c>
      <c r="C102">
        <v>30</v>
      </c>
      <c r="D102">
        <v>30</v>
      </c>
      <c r="E102">
        <v>27</v>
      </c>
      <c r="F102">
        <v>29</v>
      </c>
      <c r="G102">
        <v>63</v>
      </c>
      <c r="H102">
        <v>93</v>
      </c>
      <c r="I102" t="s">
        <v>412</v>
      </c>
      <c r="J102" t="s">
        <v>424</v>
      </c>
      <c r="L102" t="s">
        <v>428</v>
      </c>
      <c r="M102" t="s">
        <v>85</v>
      </c>
      <c r="O102" t="s">
        <v>14</v>
      </c>
      <c r="P102" t="s">
        <v>429</v>
      </c>
      <c r="Q102" t="s">
        <v>430</v>
      </c>
      <c r="R102">
        <v>2015</v>
      </c>
      <c r="S102" t="s">
        <v>431</v>
      </c>
      <c r="U102" t="s">
        <v>432</v>
      </c>
      <c r="V102" t="s">
        <v>433</v>
      </c>
      <c r="W102" t="s">
        <v>91</v>
      </c>
      <c r="X102" t="s">
        <v>126</v>
      </c>
      <c r="Y102" t="s">
        <v>434</v>
      </c>
      <c r="Z102" t="s">
        <v>435</v>
      </c>
      <c r="AA102" t="s">
        <v>436</v>
      </c>
      <c r="AB102" t="s">
        <v>437</v>
      </c>
      <c r="AC102" t="s">
        <v>438</v>
      </c>
      <c r="AD102" t="s">
        <v>132</v>
      </c>
      <c r="AE102" t="s">
        <v>133</v>
      </c>
      <c r="AF102" t="s">
        <v>100</v>
      </c>
      <c r="AG102" t="s">
        <v>102</v>
      </c>
      <c r="AH102" t="s">
        <v>102</v>
      </c>
      <c r="AI102" t="s">
        <v>134</v>
      </c>
      <c r="AJ102" t="s">
        <v>135</v>
      </c>
      <c r="AM102" t="s">
        <v>136</v>
      </c>
      <c r="AN102" t="s">
        <v>106</v>
      </c>
      <c r="AO102">
        <v>-18.399999999999999</v>
      </c>
      <c r="AP102">
        <v>146.69999999999999</v>
      </c>
      <c r="AQ102">
        <v>0</v>
      </c>
      <c r="AR102" t="s">
        <v>439</v>
      </c>
      <c r="AS102">
        <v>2008</v>
      </c>
      <c r="AT102">
        <f>(48.6842105+52.0598911)/2</f>
        <v>50.372050799999997</v>
      </c>
      <c r="AU102">
        <f>(5.223625+6.3546191)/2</f>
        <v>5.7891220499999996</v>
      </c>
      <c r="AV102">
        <f>365+14+61</f>
        <v>440</v>
      </c>
      <c r="AW102" t="s">
        <v>108</v>
      </c>
      <c r="AX102">
        <v>28.5</v>
      </c>
      <c r="AY102" t="s">
        <v>134</v>
      </c>
      <c r="AZ102" t="s">
        <v>109</v>
      </c>
      <c r="BA102" t="s">
        <v>138</v>
      </c>
      <c r="BB102">
        <v>28.5</v>
      </c>
      <c r="BC102">
        <f>(28.5+1.5)</f>
        <v>30</v>
      </c>
      <c r="BD102">
        <v>0.3</v>
      </c>
      <c r="BE102" t="s">
        <v>139</v>
      </c>
      <c r="BF102">
        <f>365+61</f>
        <v>426</v>
      </c>
      <c r="BG102">
        <v>1</v>
      </c>
      <c r="BR102" t="s">
        <v>69</v>
      </c>
      <c r="BS102" t="s">
        <v>440</v>
      </c>
      <c r="BU102" t="s">
        <v>441</v>
      </c>
      <c r="BV102">
        <v>39.301610500000002</v>
      </c>
      <c r="BW102">
        <v>0.1022115</v>
      </c>
      <c r="BX102">
        <v>6</v>
      </c>
      <c r="BY102">
        <v>39.736456799999999</v>
      </c>
      <c r="BZ102">
        <v>0.10759106</v>
      </c>
      <c r="CA102">
        <v>6</v>
      </c>
      <c r="CB102" t="s">
        <v>113</v>
      </c>
      <c r="CC102" t="s">
        <v>141</v>
      </c>
    </row>
    <row r="103" spans="1:81" x14ac:dyDescent="0.25">
      <c r="A103" t="s">
        <v>81</v>
      </c>
      <c r="B103">
        <v>102</v>
      </c>
      <c r="C103">
        <v>30</v>
      </c>
      <c r="D103">
        <v>30</v>
      </c>
      <c r="E103">
        <v>27</v>
      </c>
      <c r="F103">
        <v>29</v>
      </c>
      <c r="G103">
        <v>63</v>
      </c>
      <c r="H103">
        <v>94</v>
      </c>
      <c r="I103" t="s">
        <v>412</v>
      </c>
      <c r="J103" t="s">
        <v>424</v>
      </c>
      <c r="L103" t="s">
        <v>428</v>
      </c>
      <c r="M103" t="s">
        <v>85</v>
      </c>
      <c r="O103" t="s">
        <v>14</v>
      </c>
      <c r="P103" t="s">
        <v>429</v>
      </c>
      <c r="Q103" t="s">
        <v>430</v>
      </c>
      <c r="R103">
        <v>2015</v>
      </c>
      <c r="S103" t="s">
        <v>431</v>
      </c>
      <c r="U103" t="s">
        <v>432</v>
      </c>
      <c r="V103" t="s">
        <v>433</v>
      </c>
      <c r="W103" t="s">
        <v>91</v>
      </c>
      <c r="X103" t="s">
        <v>126</v>
      </c>
      <c r="Y103" t="s">
        <v>434</v>
      </c>
      <c r="Z103" t="s">
        <v>435</v>
      </c>
      <c r="AA103" t="s">
        <v>436</v>
      </c>
      <c r="AB103" t="s">
        <v>437</v>
      </c>
      <c r="AC103" t="s">
        <v>438</v>
      </c>
      <c r="AD103" t="s">
        <v>132</v>
      </c>
      <c r="AE103" t="s">
        <v>133</v>
      </c>
      <c r="AF103" t="s">
        <v>100</v>
      </c>
      <c r="AG103" t="s">
        <v>102</v>
      </c>
      <c r="AH103" t="s">
        <v>102</v>
      </c>
      <c r="AI103" t="s">
        <v>134</v>
      </c>
      <c r="AJ103" t="s">
        <v>135</v>
      </c>
      <c r="AM103" t="s">
        <v>136</v>
      </c>
      <c r="AN103" t="s">
        <v>106</v>
      </c>
      <c r="AO103">
        <v>-18.399999999999999</v>
      </c>
      <c r="AP103">
        <v>146.69999999999999</v>
      </c>
      <c r="AQ103">
        <v>0</v>
      </c>
      <c r="AR103" t="s">
        <v>439</v>
      </c>
      <c r="AS103">
        <v>2008</v>
      </c>
      <c r="AT103">
        <f>(52.0598911+56.7422868)/2</f>
        <v>54.401088950000002</v>
      </c>
      <c r="AU103">
        <f>(6.3546191+8.9646056)/2</f>
        <v>7.6596123499999997</v>
      </c>
      <c r="AV103">
        <f>365+14+61</f>
        <v>440</v>
      </c>
      <c r="AW103" t="s">
        <v>108</v>
      </c>
      <c r="AX103">
        <v>28.5</v>
      </c>
      <c r="AY103" t="s">
        <v>103</v>
      </c>
      <c r="AZ103" t="s">
        <v>109</v>
      </c>
      <c r="BA103" t="s">
        <v>138</v>
      </c>
      <c r="BB103">
        <f>(28.5+1.5)</f>
        <v>30</v>
      </c>
      <c r="BC103">
        <f>(28.5+3)</f>
        <v>31.5</v>
      </c>
      <c r="BD103">
        <v>0.3</v>
      </c>
      <c r="BE103" t="s">
        <v>139</v>
      </c>
      <c r="BF103">
        <f>365+61</f>
        <v>426</v>
      </c>
      <c r="BG103">
        <v>1</v>
      </c>
      <c r="BR103" t="s">
        <v>69</v>
      </c>
      <c r="BS103" t="s">
        <v>440</v>
      </c>
      <c r="BU103" t="s">
        <v>441</v>
      </c>
      <c r="BV103">
        <v>39.736456799999999</v>
      </c>
      <c r="BW103">
        <v>0.10759106</v>
      </c>
      <c r="BX103">
        <v>6</v>
      </c>
      <c r="BY103">
        <v>39.479502199999999</v>
      </c>
      <c r="BZ103">
        <v>6.9934189999999993E-2</v>
      </c>
      <c r="CA103">
        <v>6</v>
      </c>
      <c r="CB103" t="s">
        <v>113</v>
      </c>
      <c r="CC103" t="s">
        <v>141</v>
      </c>
    </row>
    <row r="104" spans="1:81" x14ac:dyDescent="0.25">
      <c r="A104" t="s">
        <v>81</v>
      </c>
      <c r="B104">
        <v>103</v>
      </c>
      <c r="C104">
        <v>32</v>
      </c>
      <c r="D104">
        <v>11</v>
      </c>
      <c r="E104">
        <v>28</v>
      </c>
      <c r="F104">
        <v>30</v>
      </c>
      <c r="G104">
        <v>64</v>
      </c>
      <c r="H104">
        <v>95</v>
      </c>
      <c r="I104" t="s">
        <v>442</v>
      </c>
      <c r="J104" t="s">
        <v>184</v>
      </c>
      <c r="L104" t="s">
        <v>443</v>
      </c>
      <c r="M104" t="s">
        <v>85</v>
      </c>
      <c r="O104" t="s">
        <v>14</v>
      </c>
      <c r="P104" t="s">
        <v>444</v>
      </c>
      <c r="Q104" t="s">
        <v>445</v>
      </c>
      <c r="R104">
        <v>1991</v>
      </c>
      <c r="S104" t="s">
        <v>446</v>
      </c>
      <c r="U104" t="s">
        <v>447</v>
      </c>
      <c r="V104" t="s">
        <v>448</v>
      </c>
      <c r="W104" t="s">
        <v>91</v>
      </c>
      <c r="X104" t="s">
        <v>126</v>
      </c>
      <c r="Y104" t="s">
        <v>190</v>
      </c>
      <c r="Z104" t="s">
        <v>191</v>
      </c>
      <c r="AA104" t="s">
        <v>239</v>
      </c>
      <c r="AB104" t="s">
        <v>240</v>
      </c>
      <c r="AC104" t="s">
        <v>241</v>
      </c>
      <c r="AD104" t="s">
        <v>132</v>
      </c>
      <c r="AE104" t="s">
        <v>133</v>
      </c>
      <c r="AF104" t="s">
        <v>100</v>
      </c>
      <c r="AG104" t="s">
        <v>102</v>
      </c>
      <c r="AH104" t="s">
        <v>102</v>
      </c>
      <c r="AI104" t="s">
        <v>134</v>
      </c>
      <c r="AJ104" t="s">
        <v>135</v>
      </c>
      <c r="AM104" t="s">
        <v>136</v>
      </c>
      <c r="AN104" t="s">
        <v>242</v>
      </c>
      <c r="AT104">
        <v>50</v>
      </c>
      <c r="AU104">
        <v>1.5</v>
      </c>
      <c r="AW104" t="s">
        <v>108</v>
      </c>
      <c r="AZ104" t="s">
        <v>109</v>
      </c>
      <c r="BA104" t="s">
        <v>142</v>
      </c>
      <c r="BB104">
        <v>5</v>
      </c>
      <c r="BC104">
        <v>10</v>
      </c>
      <c r="BD104">
        <v>0.15</v>
      </c>
      <c r="BE104" t="s">
        <v>139</v>
      </c>
      <c r="BF104">
        <v>14</v>
      </c>
      <c r="BG104">
        <f t="shared" ref="BG104:BG123" si="4">1/60</f>
        <v>1.6666666666666666E-2</v>
      </c>
      <c r="BH104">
        <f t="shared" ref="BH104:BH123" si="5">10/60</f>
        <v>0.16666666666666666</v>
      </c>
      <c r="BR104" t="s">
        <v>449</v>
      </c>
      <c r="BU104" t="s">
        <v>450</v>
      </c>
      <c r="BV104">
        <v>30.3806452</v>
      </c>
      <c r="BW104">
        <v>1.38491952</v>
      </c>
      <c r="BX104">
        <v>5</v>
      </c>
      <c r="BY104">
        <v>30.767741900000001</v>
      </c>
      <c r="BZ104">
        <v>1.0386896400000001</v>
      </c>
      <c r="CA104">
        <v>5</v>
      </c>
      <c r="CB104" t="s">
        <v>113</v>
      </c>
      <c r="CC104" t="s">
        <v>451</v>
      </c>
    </row>
    <row r="105" spans="1:81" x14ac:dyDescent="0.25">
      <c r="A105" t="s">
        <v>81</v>
      </c>
      <c r="B105">
        <v>104</v>
      </c>
      <c r="C105">
        <v>32</v>
      </c>
      <c r="D105">
        <v>11</v>
      </c>
      <c r="E105">
        <v>28</v>
      </c>
      <c r="F105">
        <v>30</v>
      </c>
      <c r="G105">
        <v>64</v>
      </c>
      <c r="H105">
        <v>96</v>
      </c>
      <c r="I105" t="s">
        <v>442</v>
      </c>
      <c r="J105" t="s">
        <v>184</v>
      </c>
      <c r="L105" t="s">
        <v>443</v>
      </c>
      <c r="M105" t="s">
        <v>85</v>
      </c>
      <c r="O105" t="s">
        <v>14</v>
      </c>
      <c r="P105" t="s">
        <v>444</v>
      </c>
      <c r="Q105" t="s">
        <v>445</v>
      </c>
      <c r="R105">
        <v>1991</v>
      </c>
      <c r="S105" t="s">
        <v>446</v>
      </c>
      <c r="U105" t="s">
        <v>447</v>
      </c>
      <c r="V105" t="s">
        <v>448</v>
      </c>
      <c r="W105" t="s">
        <v>91</v>
      </c>
      <c r="X105" t="s">
        <v>126</v>
      </c>
      <c r="Y105" t="s">
        <v>190</v>
      </c>
      <c r="Z105" t="s">
        <v>191</v>
      </c>
      <c r="AA105" t="s">
        <v>239</v>
      </c>
      <c r="AB105" t="s">
        <v>240</v>
      </c>
      <c r="AC105" t="s">
        <v>241</v>
      </c>
      <c r="AD105" t="s">
        <v>132</v>
      </c>
      <c r="AE105" t="s">
        <v>133</v>
      </c>
      <c r="AF105" t="s">
        <v>100</v>
      </c>
      <c r="AG105" t="s">
        <v>102</v>
      </c>
      <c r="AH105" t="s">
        <v>102</v>
      </c>
      <c r="AI105" t="s">
        <v>134</v>
      </c>
      <c r="AJ105" t="s">
        <v>135</v>
      </c>
      <c r="AM105" t="s">
        <v>136</v>
      </c>
      <c r="AN105" t="s">
        <v>242</v>
      </c>
      <c r="AT105">
        <v>50</v>
      </c>
      <c r="AU105">
        <v>1.5</v>
      </c>
      <c r="AW105" t="s">
        <v>108</v>
      </c>
      <c r="AZ105" t="s">
        <v>109</v>
      </c>
      <c r="BA105" t="s">
        <v>142</v>
      </c>
      <c r="BB105">
        <v>10</v>
      </c>
      <c r="BC105">
        <v>15</v>
      </c>
      <c r="BD105">
        <v>0.15</v>
      </c>
      <c r="BE105" t="s">
        <v>139</v>
      </c>
      <c r="BF105">
        <v>14</v>
      </c>
      <c r="BG105">
        <f t="shared" si="4"/>
        <v>1.6666666666666666E-2</v>
      </c>
      <c r="BH105">
        <f t="shared" si="5"/>
        <v>0.16666666666666666</v>
      </c>
      <c r="BR105" t="s">
        <v>449</v>
      </c>
      <c r="BU105" t="s">
        <v>450</v>
      </c>
      <c r="BV105">
        <v>30.767741900000001</v>
      </c>
      <c r="BW105">
        <v>1.0386896400000001</v>
      </c>
      <c r="BX105">
        <v>5</v>
      </c>
      <c r="BY105">
        <v>32.025806500000002</v>
      </c>
      <c r="BZ105">
        <v>1.16852585</v>
      </c>
      <c r="CA105">
        <v>5</v>
      </c>
      <c r="CB105" t="s">
        <v>113</v>
      </c>
      <c r="CC105" t="s">
        <v>451</v>
      </c>
    </row>
    <row r="106" spans="1:81" x14ac:dyDescent="0.25">
      <c r="A106" t="s">
        <v>81</v>
      </c>
      <c r="B106">
        <v>105</v>
      </c>
      <c r="C106">
        <v>32</v>
      </c>
      <c r="D106">
        <v>11</v>
      </c>
      <c r="E106">
        <v>28</v>
      </c>
      <c r="F106">
        <v>30</v>
      </c>
      <c r="G106">
        <v>64</v>
      </c>
      <c r="H106">
        <v>97</v>
      </c>
      <c r="I106" t="s">
        <v>442</v>
      </c>
      <c r="J106" t="s">
        <v>184</v>
      </c>
      <c r="L106" t="s">
        <v>443</v>
      </c>
      <c r="M106" t="s">
        <v>85</v>
      </c>
      <c r="O106" t="s">
        <v>14</v>
      </c>
      <c r="P106" t="s">
        <v>444</v>
      </c>
      <c r="Q106" t="s">
        <v>445</v>
      </c>
      <c r="R106">
        <v>1991</v>
      </c>
      <c r="S106" t="s">
        <v>446</v>
      </c>
      <c r="U106" t="s">
        <v>447</v>
      </c>
      <c r="V106" t="s">
        <v>448</v>
      </c>
      <c r="W106" t="s">
        <v>91</v>
      </c>
      <c r="X106" t="s">
        <v>126</v>
      </c>
      <c r="Y106" t="s">
        <v>190</v>
      </c>
      <c r="Z106" t="s">
        <v>191</v>
      </c>
      <c r="AA106" t="s">
        <v>239</v>
      </c>
      <c r="AB106" t="s">
        <v>240</v>
      </c>
      <c r="AC106" t="s">
        <v>241</v>
      </c>
      <c r="AD106" t="s">
        <v>132</v>
      </c>
      <c r="AE106" t="s">
        <v>133</v>
      </c>
      <c r="AF106" t="s">
        <v>100</v>
      </c>
      <c r="AG106" t="s">
        <v>102</v>
      </c>
      <c r="AH106" t="s">
        <v>102</v>
      </c>
      <c r="AI106" t="s">
        <v>134</v>
      </c>
      <c r="AJ106" t="s">
        <v>135</v>
      </c>
      <c r="AM106" t="s">
        <v>136</v>
      </c>
      <c r="AN106" t="s">
        <v>242</v>
      </c>
      <c r="AT106">
        <v>50</v>
      </c>
      <c r="AU106">
        <v>1.5</v>
      </c>
      <c r="AW106" t="s">
        <v>108</v>
      </c>
      <c r="AZ106" t="s">
        <v>109</v>
      </c>
      <c r="BA106" t="s">
        <v>142</v>
      </c>
      <c r="BB106">
        <v>15</v>
      </c>
      <c r="BC106">
        <v>20</v>
      </c>
      <c r="BD106">
        <v>0.15</v>
      </c>
      <c r="BE106" t="s">
        <v>139</v>
      </c>
      <c r="BF106">
        <v>14</v>
      </c>
      <c r="BG106">
        <f t="shared" si="4"/>
        <v>1.6666666666666666E-2</v>
      </c>
      <c r="BH106">
        <f t="shared" si="5"/>
        <v>0.16666666666666666</v>
      </c>
      <c r="BR106" t="s">
        <v>449</v>
      </c>
      <c r="BU106" t="s">
        <v>450</v>
      </c>
      <c r="BV106">
        <v>32.025806500000002</v>
      </c>
      <c r="BW106">
        <v>1.16852585</v>
      </c>
      <c r="BX106">
        <v>5</v>
      </c>
      <c r="BY106">
        <v>33.187096799999999</v>
      </c>
      <c r="BZ106">
        <v>1.34164079</v>
      </c>
      <c r="CA106">
        <v>5</v>
      </c>
      <c r="CB106" t="s">
        <v>113</v>
      </c>
      <c r="CC106" t="s">
        <v>451</v>
      </c>
    </row>
    <row r="107" spans="1:81" x14ac:dyDescent="0.25">
      <c r="A107" t="s">
        <v>81</v>
      </c>
      <c r="B107">
        <v>106</v>
      </c>
      <c r="C107">
        <v>32</v>
      </c>
      <c r="D107">
        <v>11</v>
      </c>
      <c r="E107">
        <v>28</v>
      </c>
      <c r="F107">
        <v>30</v>
      </c>
      <c r="G107">
        <v>64</v>
      </c>
      <c r="H107">
        <v>98</v>
      </c>
      <c r="I107" t="s">
        <v>442</v>
      </c>
      <c r="J107" t="s">
        <v>184</v>
      </c>
      <c r="L107" t="s">
        <v>443</v>
      </c>
      <c r="M107" t="s">
        <v>85</v>
      </c>
      <c r="O107" t="s">
        <v>14</v>
      </c>
      <c r="P107" t="s">
        <v>444</v>
      </c>
      <c r="Q107" t="s">
        <v>445</v>
      </c>
      <c r="R107">
        <v>1991</v>
      </c>
      <c r="S107" t="s">
        <v>446</v>
      </c>
      <c r="U107" t="s">
        <v>447</v>
      </c>
      <c r="V107" t="s">
        <v>448</v>
      </c>
      <c r="W107" t="s">
        <v>91</v>
      </c>
      <c r="X107" t="s">
        <v>126</v>
      </c>
      <c r="Y107" t="s">
        <v>190</v>
      </c>
      <c r="Z107" t="s">
        <v>191</v>
      </c>
      <c r="AA107" t="s">
        <v>239</v>
      </c>
      <c r="AB107" t="s">
        <v>240</v>
      </c>
      <c r="AC107" t="s">
        <v>241</v>
      </c>
      <c r="AD107" t="s">
        <v>132</v>
      </c>
      <c r="AE107" t="s">
        <v>133</v>
      </c>
      <c r="AF107" t="s">
        <v>100</v>
      </c>
      <c r="AG107" t="s">
        <v>102</v>
      </c>
      <c r="AH107" t="s">
        <v>102</v>
      </c>
      <c r="AI107" t="s">
        <v>134</v>
      </c>
      <c r="AJ107" t="s">
        <v>135</v>
      </c>
      <c r="AM107" t="s">
        <v>136</v>
      </c>
      <c r="AN107" t="s">
        <v>242</v>
      </c>
      <c r="AT107">
        <v>50</v>
      </c>
      <c r="AU107">
        <v>1.5</v>
      </c>
      <c r="AW107" t="s">
        <v>108</v>
      </c>
      <c r="AZ107" t="s">
        <v>109</v>
      </c>
      <c r="BA107" t="s">
        <v>142</v>
      </c>
      <c r="BB107">
        <v>20</v>
      </c>
      <c r="BC107">
        <v>25</v>
      </c>
      <c r="BD107">
        <v>0.15</v>
      </c>
      <c r="BE107" t="s">
        <v>139</v>
      </c>
      <c r="BF107">
        <v>14</v>
      </c>
      <c r="BG107">
        <f t="shared" si="4"/>
        <v>1.6666666666666666E-2</v>
      </c>
      <c r="BH107">
        <f t="shared" si="5"/>
        <v>0.16666666666666666</v>
      </c>
      <c r="BR107" t="s">
        <v>449</v>
      </c>
      <c r="BU107" t="s">
        <v>450</v>
      </c>
      <c r="BV107">
        <v>33.187096799999999</v>
      </c>
      <c r="BW107">
        <v>1.34164079</v>
      </c>
      <c r="BX107">
        <v>5</v>
      </c>
      <c r="BY107">
        <v>32.799999999999997</v>
      </c>
      <c r="BZ107">
        <v>1.2983620499999999</v>
      </c>
      <c r="CA107">
        <v>5</v>
      </c>
      <c r="CB107" t="s">
        <v>113</v>
      </c>
      <c r="CC107" t="s">
        <v>451</v>
      </c>
    </row>
    <row r="108" spans="1:81" x14ac:dyDescent="0.25">
      <c r="A108" t="s">
        <v>81</v>
      </c>
      <c r="B108">
        <v>107</v>
      </c>
      <c r="C108">
        <v>32</v>
      </c>
      <c r="D108">
        <v>11</v>
      </c>
      <c r="E108">
        <v>28</v>
      </c>
      <c r="F108">
        <v>30</v>
      </c>
      <c r="G108">
        <v>64</v>
      </c>
      <c r="H108">
        <v>99</v>
      </c>
      <c r="I108" t="s">
        <v>442</v>
      </c>
      <c r="J108" t="s">
        <v>184</v>
      </c>
      <c r="L108" t="s">
        <v>443</v>
      </c>
      <c r="M108" t="s">
        <v>85</v>
      </c>
      <c r="O108" t="s">
        <v>14</v>
      </c>
      <c r="P108" t="s">
        <v>444</v>
      </c>
      <c r="Q108" t="s">
        <v>445</v>
      </c>
      <c r="R108">
        <v>1991</v>
      </c>
      <c r="S108" t="s">
        <v>446</v>
      </c>
      <c r="U108" t="s">
        <v>447</v>
      </c>
      <c r="V108" t="s">
        <v>448</v>
      </c>
      <c r="W108" t="s">
        <v>91</v>
      </c>
      <c r="X108" t="s">
        <v>126</v>
      </c>
      <c r="Y108" t="s">
        <v>190</v>
      </c>
      <c r="Z108" t="s">
        <v>191</v>
      </c>
      <c r="AA108" t="s">
        <v>239</v>
      </c>
      <c r="AB108" t="s">
        <v>240</v>
      </c>
      <c r="AC108" t="s">
        <v>241</v>
      </c>
      <c r="AD108" t="s">
        <v>132</v>
      </c>
      <c r="AE108" t="s">
        <v>133</v>
      </c>
      <c r="AF108" t="s">
        <v>100</v>
      </c>
      <c r="AG108" t="s">
        <v>102</v>
      </c>
      <c r="AH108" t="s">
        <v>102</v>
      </c>
      <c r="AI108" t="s">
        <v>134</v>
      </c>
      <c r="AJ108" t="s">
        <v>135</v>
      </c>
      <c r="AM108" t="s">
        <v>136</v>
      </c>
      <c r="AN108" t="s">
        <v>242</v>
      </c>
      <c r="AT108">
        <v>50</v>
      </c>
      <c r="AU108">
        <v>1.5</v>
      </c>
      <c r="AW108" t="s">
        <v>108</v>
      </c>
      <c r="AZ108" t="s">
        <v>109</v>
      </c>
      <c r="BA108" t="s">
        <v>142</v>
      </c>
      <c r="BB108">
        <v>25</v>
      </c>
      <c r="BC108">
        <v>27</v>
      </c>
      <c r="BD108">
        <v>0.15</v>
      </c>
      <c r="BE108" t="s">
        <v>139</v>
      </c>
      <c r="BF108">
        <v>14</v>
      </c>
      <c r="BG108">
        <f t="shared" si="4"/>
        <v>1.6666666666666666E-2</v>
      </c>
      <c r="BH108">
        <f t="shared" si="5"/>
        <v>0.16666666666666666</v>
      </c>
      <c r="BR108" t="s">
        <v>449</v>
      </c>
      <c r="BU108" t="s">
        <v>450</v>
      </c>
      <c r="BV108">
        <v>32.799999999999997</v>
      </c>
      <c r="BW108">
        <v>1.2983620499999999</v>
      </c>
      <c r="BX108">
        <v>5</v>
      </c>
      <c r="BY108">
        <v>32.722580600000001</v>
      </c>
      <c r="BZ108">
        <v>2.0773792800000002</v>
      </c>
      <c r="CA108">
        <v>5</v>
      </c>
      <c r="CB108" t="s">
        <v>113</v>
      </c>
      <c r="CC108" t="s">
        <v>451</v>
      </c>
    </row>
    <row r="109" spans="1:81" x14ac:dyDescent="0.25">
      <c r="A109" t="s">
        <v>81</v>
      </c>
      <c r="B109">
        <v>108</v>
      </c>
      <c r="C109">
        <v>32</v>
      </c>
      <c r="D109">
        <v>11</v>
      </c>
      <c r="E109">
        <v>28</v>
      </c>
      <c r="F109">
        <v>30</v>
      </c>
      <c r="G109">
        <v>65</v>
      </c>
      <c r="H109">
        <v>100</v>
      </c>
      <c r="I109" t="s">
        <v>442</v>
      </c>
      <c r="J109" t="s">
        <v>184</v>
      </c>
      <c r="L109" t="s">
        <v>443</v>
      </c>
      <c r="M109" t="s">
        <v>85</v>
      </c>
      <c r="O109" t="s">
        <v>14</v>
      </c>
      <c r="P109" t="s">
        <v>444</v>
      </c>
      <c r="Q109" t="s">
        <v>445</v>
      </c>
      <c r="R109">
        <v>1991</v>
      </c>
      <c r="S109" t="s">
        <v>446</v>
      </c>
      <c r="U109" t="s">
        <v>447</v>
      </c>
      <c r="V109" t="s">
        <v>448</v>
      </c>
      <c r="W109" t="s">
        <v>91</v>
      </c>
      <c r="X109" t="s">
        <v>126</v>
      </c>
      <c r="Y109" t="s">
        <v>190</v>
      </c>
      <c r="Z109" t="s">
        <v>191</v>
      </c>
      <c r="AA109" t="s">
        <v>239</v>
      </c>
      <c r="AB109" t="s">
        <v>240</v>
      </c>
      <c r="AC109" t="s">
        <v>241</v>
      </c>
      <c r="AD109" t="s">
        <v>132</v>
      </c>
      <c r="AE109" t="s">
        <v>133</v>
      </c>
      <c r="AF109" t="s">
        <v>100</v>
      </c>
      <c r="AG109" t="s">
        <v>102</v>
      </c>
      <c r="AH109" t="s">
        <v>102</v>
      </c>
      <c r="AI109" t="s">
        <v>134</v>
      </c>
      <c r="AJ109" t="s">
        <v>135</v>
      </c>
      <c r="AM109" t="s">
        <v>136</v>
      </c>
      <c r="AN109" t="s">
        <v>242</v>
      </c>
      <c r="AT109">
        <v>100</v>
      </c>
      <c r="AU109">
        <v>11</v>
      </c>
      <c r="AW109" t="s">
        <v>108</v>
      </c>
      <c r="AZ109" t="s">
        <v>109</v>
      </c>
      <c r="BA109" t="s">
        <v>142</v>
      </c>
      <c r="BB109">
        <v>5</v>
      </c>
      <c r="BC109">
        <v>10</v>
      </c>
      <c r="BD109">
        <v>0.15</v>
      </c>
      <c r="BE109" t="s">
        <v>139</v>
      </c>
      <c r="BF109">
        <v>14</v>
      </c>
      <c r="BG109">
        <f t="shared" si="4"/>
        <v>1.6666666666666666E-2</v>
      </c>
      <c r="BH109">
        <f t="shared" si="5"/>
        <v>0.16666666666666666</v>
      </c>
      <c r="BR109" t="s">
        <v>449</v>
      </c>
      <c r="BT109" t="s">
        <v>452</v>
      </c>
      <c r="BU109" t="s">
        <v>453</v>
      </c>
      <c r="BV109">
        <v>29.974193499999998</v>
      </c>
      <c r="BW109" t="s">
        <v>454</v>
      </c>
      <c r="BX109">
        <v>5</v>
      </c>
      <c r="BY109">
        <v>31.193548400000001</v>
      </c>
      <c r="BZ109">
        <v>1.16852585</v>
      </c>
      <c r="CA109">
        <v>5</v>
      </c>
      <c r="CB109" t="s">
        <v>113</v>
      </c>
      <c r="CC109" t="s">
        <v>455</v>
      </c>
    </row>
    <row r="110" spans="1:81" x14ac:dyDescent="0.25">
      <c r="A110" t="s">
        <v>81</v>
      </c>
      <c r="B110">
        <v>109</v>
      </c>
      <c r="C110">
        <v>32</v>
      </c>
      <c r="D110">
        <v>11</v>
      </c>
      <c r="E110">
        <v>28</v>
      </c>
      <c r="F110">
        <v>30</v>
      </c>
      <c r="G110">
        <v>65</v>
      </c>
      <c r="H110">
        <v>101</v>
      </c>
      <c r="I110" t="s">
        <v>442</v>
      </c>
      <c r="J110" t="s">
        <v>184</v>
      </c>
      <c r="L110" t="s">
        <v>443</v>
      </c>
      <c r="M110" t="s">
        <v>85</v>
      </c>
      <c r="O110" t="s">
        <v>14</v>
      </c>
      <c r="P110" t="s">
        <v>444</v>
      </c>
      <c r="Q110" t="s">
        <v>445</v>
      </c>
      <c r="R110">
        <v>1991</v>
      </c>
      <c r="S110" t="s">
        <v>446</v>
      </c>
      <c r="U110" t="s">
        <v>447</v>
      </c>
      <c r="V110" t="s">
        <v>448</v>
      </c>
      <c r="W110" t="s">
        <v>91</v>
      </c>
      <c r="X110" t="s">
        <v>126</v>
      </c>
      <c r="Y110" t="s">
        <v>190</v>
      </c>
      <c r="Z110" t="s">
        <v>191</v>
      </c>
      <c r="AA110" t="s">
        <v>239</v>
      </c>
      <c r="AB110" t="s">
        <v>240</v>
      </c>
      <c r="AC110" t="s">
        <v>241</v>
      </c>
      <c r="AD110" t="s">
        <v>132</v>
      </c>
      <c r="AE110" t="s">
        <v>133</v>
      </c>
      <c r="AF110" t="s">
        <v>100</v>
      </c>
      <c r="AG110" t="s">
        <v>102</v>
      </c>
      <c r="AH110" t="s">
        <v>102</v>
      </c>
      <c r="AI110" t="s">
        <v>134</v>
      </c>
      <c r="AJ110" t="s">
        <v>135</v>
      </c>
      <c r="AM110" t="s">
        <v>136</v>
      </c>
      <c r="AN110" t="s">
        <v>242</v>
      </c>
      <c r="AT110">
        <v>100</v>
      </c>
      <c r="AU110">
        <v>11</v>
      </c>
      <c r="AW110" t="s">
        <v>108</v>
      </c>
      <c r="AZ110" t="s">
        <v>109</v>
      </c>
      <c r="BA110" t="s">
        <v>142</v>
      </c>
      <c r="BB110">
        <v>10</v>
      </c>
      <c r="BC110">
        <v>15</v>
      </c>
      <c r="BD110">
        <v>0.15</v>
      </c>
      <c r="BE110" t="s">
        <v>139</v>
      </c>
      <c r="BF110">
        <v>14</v>
      </c>
      <c r="BG110">
        <f t="shared" si="4"/>
        <v>1.6666666666666666E-2</v>
      </c>
      <c r="BH110">
        <f t="shared" si="5"/>
        <v>0.16666666666666666</v>
      </c>
      <c r="BR110" t="s">
        <v>449</v>
      </c>
      <c r="BU110" t="s">
        <v>453</v>
      </c>
      <c r="BV110">
        <v>31.193548400000001</v>
      </c>
      <c r="BW110">
        <v>1.16852585</v>
      </c>
      <c r="BX110">
        <v>5</v>
      </c>
      <c r="BY110">
        <v>31.6193548</v>
      </c>
      <c r="BZ110">
        <v>1.9042643400000001</v>
      </c>
      <c r="CA110">
        <v>5</v>
      </c>
      <c r="CB110" t="s">
        <v>113</v>
      </c>
      <c r="CC110" t="s">
        <v>451</v>
      </c>
    </row>
    <row r="111" spans="1:81" x14ac:dyDescent="0.25">
      <c r="A111" t="s">
        <v>81</v>
      </c>
      <c r="B111">
        <v>110</v>
      </c>
      <c r="C111">
        <v>32</v>
      </c>
      <c r="D111">
        <v>11</v>
      </c>
      <c r="E111">
        <v>28</v>
      </c>
      <c r="F111">
        <v>30</v>
      </c>
      <c r="G111">
        <v>65</v>
      </c>
      <c r="H111">
        <v>102</v>
      </c>
      <c r="I111" t="s">
        <v>442</v>
      </c>
      <c r="J111" t="s">
        <v>184</v>
      </c>
      <c r="L111" t="s">
        <v>443</v>
      </c>
      <c r="M111" t="s">
        <v>85</v>
      </c>
      <c r="O111" t="s">
        <v>14</v>
      </c>
      <c r="P111" t="s">
        <v>444</v>
      </c>
      <c r="Q111" t="s">
        <v>445</v>
      </c>
      <c r="R111">
        <v>1991</v>
      </c>
      <c r="S111" t="s">
        <v>446</v>
      </c>
      <c r="U111" t="s">
        <v>447</v>
      </c>
      <c r="V111" t="s">
        <v>448</v>
      </c>
      <c r="W111" t="s">
        <v>91</v>
      </c>
      <c r="X111" t="s">
        <v>126</v>
      </c>
      <c r="Y111" t="s">
        <v>190</v>
      </c>
      <c r="Z111" t="s">
        <v>191</v>
      </c>
      <c r="AA111" t="s">
        <v>239</v>
      </c>
      <c r="AB111" t="s">
        <v>240</v>
      </c>
      <c r="AC111" t="s">
        <v>241</v>
      </c>
      <c r="AD111" t="s">
        <v>132</v>
      </c>
      <c r="AE111" t="s">
        <v>133</v>
      </c>
      <c r="AF111" t="s">
        <v>100</v>
      </c>
      <c r="AG111" t="s">
        <v>102</v>
      </c>
      <c r="AH111" t="s">
        <v>102</v>
      </c>
      <c r="AI111" t="s">
        <v>134</v>
      </c>
      <c r="AJ111" t="s">
        <v>135</v>
      </c>
      <c r="AM111" t="s">
        <v>136</v>
      </c>
      <c r="AN111" t="s">
        <v>242</v>
      </c>
      <c r="AT111">
        <v>100</v>
      </c>
      <c r="AU111">
        <v>11</v>
      </c>
      <c r="AW111" t="s">
        <v>108</v>
      </c>
      <c r="AZ111" t="s">
        <v>109</v>
      </c>
      <c r="BA111" t="s">
        <v>142</v>
      </c>
      <c r="BB111">
        <v>15</v>
      </c>
      <c r="BC111">
        <v>20</v>
      </c>
      <c r="BD111">
        <v>0.15</v>
      </c>
      <c r="BE111" t="s">
        <v>139</v>
      </c>
      <c r="BF111">
        <v>14</v>
      </c>
      <c r="BG111">
        <f t="shared" si="4"/>
        <v>1.6666666666666666E-2</v>
      </c>
      <c r="BH111">
        <f t="shared" si="5"/>
        <v>0.16666666666666666</v>
      </c>
      <c r="BR111" t="s">
        <v>449</v>
      </c>
      <c r="BU111" t="s">
        <v>453</v>
      </c>
      <c r="BV111">
        <v>31.6193548</v>
      </c>
      <c r="BW111">
        <v>1.9042643400000001</v>
      </c>
      <c r="BX111">
        <v>5</v>
      </c>
      <c r="BY111">
        <v>32.761290299999999</v>
      </c>
      <c r="BZ111">
        <v>1.2983620499999999</v>
      </c>
      <c r="CA111">
        <v>5</v>
      </c>
      <c r="CB111" t="s">
        <v>113</v>
      </c>
      <c r="CC111" t="s">
        <v>451</v>
      </c>
    </row>
    <row r="112" spans="1:81" x14ac:dyDescent="0.25">
      <c r="A112" t="s">
        <v>81</v>
      </c>
      <c r="B112">
        <v>111</v>
      </c>
      <c r="C112">
        <v>32</v>
      </c>
      <c r="D112">
        <v>11</v>
      </c>
      <c r="E112">
        <v>28</v>
      </c>
      <c r="F112">
        <v>30</v>
      </c>
      <c r="G112">
        <v>65</v>
      </c>
      <c r="H112">
        <v>103</v>
      </c>
      <c r="I112" t="s">
        <v>442</v>
      </c>
      <c r="J112" t="s">
        <v>184</v>
      </c>
      <c r="L112" t="s">
        <v>443</v>
      </c>
      <c r="M112" t="s">
        <v>85</v>
      </c>
      <c r="O112" t="s">
        <v>14</v>
      </c>
      <c r="P112" t="s">
        <v>444</v>
      </c>
      <c r="Q112" t="s">
        <v>445</v>
      </c>
      <c r="R112">
        <v>1991</v>
      </c>
      <c r="S112" t="s">
        <v>446</v>
      </c>
      <c r="U112" t="s">
        <v>447</v>
      </c>
      <c r="V112" t="s">
        <v>448</v>
      </c>
      <c r="W112" t="s">
        <v>91</v>
      </c>
      <c r="X112" t="s">
        <v>126</v>
      </c>
      <c r="Y112" t="s">
        <v>190</v>
      </c>
      <c r="Z112" t="s">
        <v>191</v>
      </c>
      <c r="AA112" t="s">
        <v>239</v>
      </c>
      <c r="AB112" t="s">
        <v>240</v>
      </c>
      <c r="AC112" t="s">
        <v>241</v>
      </c>
      <c r="AD112" t="s">
        <v>132</v>
      </c>
      <c r="AE112" t="s">
        <v>133</v>
      </c>
      <c r="AF112" t="s">
        <v>100</v>
      </c>
      <c r="AG112" t="s">
        <v>102</v>
      </c>
      <c r="AH112" t="s">
        <v>102</v>
      </c>
      <c r="AI112" t="s">
        <v>134</v>
      </c>
      <c r="AJ112" t="s">
        <v>135</v>
      </c>
      <c r="AM112" t="s">
        <v>136</v>
      </c>
      <c r="AN112" t="s">
        <v>242</v>
      </c>
      <c r="AT112">
        <v>100</v>
      </c>
      <c r="AU112">
        <v>11</v>
      </c>
      <c r="AW112" t="s">
        <v>108</v>
      </c>
      <c r="AZ112" t="s">
        <v>109</v>
      </c>
      <c r="BA112" t="s">
        <v>142</v>
      </c>
      <c r="BB112">
        <v>20</v>
      </c>
      <c r="BC112">
        <v>25</v>
      </c>
      <c r="BD112">
        <v>0.15</v>
      </c>
      <c r="BE112" t="s">
        <v>139</v>
      </c>
      <c r="BF112">
        <v>14</v>
      </c>
      <c r="BG112">
        <f t="shared" si="4"/>
        <v>1.6666666666666666E-2</v>
      </c>
      <c r="BH112">
        <f t="shared" si="5"/>
        <v>0.16666666666666666</v>
      </c>
      <c r="BR112" t="s">
        <v>449</v>
      </c>
      <c r="BU112" t="s">
        <v>453</v>
      </c>
      <c r="BV112">
        <v>32.761290299999999</v>
      </c>
      <c r="BW112">
        <v>1.2983620499999999</v>
      </c>
      <c r="BX112">
        <v>5</v>
      </c>
      <c r="BY112">
        <v>32.819354799999999</v>
      </c>
      <c r="BZ112">
        <v>1.6878706699999999</v>
      </c>
      <c r="CA112">
        <v>5</v>
      </c>
      <c r="CB112" t="s">
        <v>113</v>
      </c>
      <c r="CC112" t="s">
        <v>451</v>
      </c>
    </row>
    <row r="113" spans="1:81" x14ac:dyDescent="0.25">
      <c r="A113" t="s">
        <v>81</v>
      </c>
      <c r="B113">
        <v>112</v>
      </c>
      <c r="C113">
        <v>32</v>
      </c>
      <c r="D113">
        <v>11</v>
      </c>
      <c r="E113">
        <v>28</v>
      </c>
      <c r="F113">
        <v>30</v>
      </c>
      <c r="G113">
        <v>65</v>
      </c>
      <c r="H113">
        <v>104</v>
      </c>
      <c r="I113" t="s">
        <v>442</v>
      </c>
      <c r="J113" t="s">
        <v>184</v>
      </c>
      <c r="L113" t="s">
        <v>443</v>
      </c>
      <c r="M113" t="s">
        <v>85</v>
      </c>
      <c r="O113" t="s">
        <v>14</v>
      </c>
      <c r="P113" t="s">
        <v>444</v>
      </c>
      <c r="Q113" t="s">
        <v>445</v>
      </c>
      <c r="R113">
        <v>1991</v>
      </c>
      <c r="S113" t="s">
        <v>446</v>
      </c>
      <c r="U113" t="s">
        <v>447</v>
      </c>
      <c r="V113" t="s">
        <v>448</v>
      </c>
      <c r="W113" t="s">
        <v>91</v>
      </c>
      <c r="X113" t="s">
        <v>126</v>
      </c>
      <c r="Y113" t="s">
        <v>190</v>
      </c>
      <c r="Z113" t="s">
        <v>191</v>
      </c>
      <c r="AA113" t="s">
        <v>239</v>
      </c>
      <c r="AB113" t="s">
        <v>240</v>
      </c>
      <c r="AC113" t="s">
        <v>241</v>
      </c>
      <c r="AD113" t="s">
        <v>132</v>
      </c>
      <c r="AE113" t="s">
        <v>133</v>
      </c>
      <c r="AF113" t="s">
        <v>100</v>
      </c>
      <c r="AG113" t="s">
        <v>102</v>
      </c>
      <c r="AH113" t="s">
        <v>102</v>
      </c>
      <c r="AI113" t="s">
        <v>134</v>
      </c>
      <c r="AJ113" t="s">
        <v>135</v>
      </c>
      <c r="AM113" t="s">
        <v>136</v>
      </c>
      <c r="AN113" t="s">
        <v>242</v>
      </c>
      <c r="AT113">
        <v>100</v>
      </c>
      <c r="AU113">
        <v>11</v>
      </c>
      <c r="AW113" t="s">
        <v>108</v>
      </c>
      <c r="AZ113" t="s">
        <v>109</v>
      </c>
      <c r="BA113" t="s">
        <v>142</v>
      </c>
      <c r="BB113">
        <v>25</v>
      </c>
      <c r="BC113">
        <v>27</v>
      </c>
      <c r="BD113">
        <v>0.15</v>
      </c>
      <c r="BE113" t="s">
        <v>139</v>
      </c>
      <c r="BF113">
        <v>14</v>
      </c>
      <c r="BG113">
        <f t="shared" si="4"/>
        <v>1.6666666666666666E-2</v>
      </c>
      <c r="BH113">
        <f t="shared" si="5"/>
        <v>0.16666666666666666</v>
      </c>
      <c r="BR113" t="s">
        <v>449</v>
      </c>
      <c r="BU113" t="s">
        <v>453</v>
      </c>
      <c r="BV113">
        <v>32.819354799999999</v>
      </c>
      <c r="BW113">
        <v>1.6878706699999999</v>
      </c>
      <c r="BX113">
        <v>5</v>
      </c>
      <c r="BY113">
        <v>32.683871000000003</v>
      </c>
      <c r="BZ113">
        <v>1.4281982600000001</v>
      </c>
      <c r="CA113">
        <v>5</v>
      </c>
      <c r="CB113" t="s">
        <v>113</v>
      </c>
      <c r="CC113" t="s">
        <v>451</v>
      </c>
    </row>
    <row r="114" spans="1:81" x14ac:dyDescent="0.25">
      <c r="A114" t="s">
        <v>81</v>
      </c>
      <c r="B114">
        <v>113</v>
      </c>
      <c r="C114">
        <v>32</v>
      </c>
      <c r="D114">
        <v>11</v>
      </c>
      <c r="E114">
        <v>29</v>
      </c>
      <c r="F114">
        <v>31</v>
      </c>
      <c r="G114">
        <v>66</v>
      </c>
      <c r="H114">
        <v>105</v>
      </c>
      <c r="I114" t="s">
        <v>442</v>
      </c>
      <c r="J114" t="s">
        <v>184</v>
      </c>
      <c r="L114" t="s">
        <v>443</v>
      </c>
      <c r="M114" t="s">
        <v>85</v>
      </c>
      <c r="O114" t="s">
        <v>14</v>
      </c>
      <c r="P114" t="s">
        <v>444</v>
      </c>
      <c r="Q114" t="s">
        <v>445</v>
      </c>
      <c r="R114">
        <v>1991</v>
      </c>
      <c r="S114" t="s">
        <v>446</v>
      </c>
      <c r="U114" t="s">
        <v>447</v>
      </c>
      <c r="V114" t="s">
        <v>448</v>
      </c>
      <c r="W114" t="s">
        <v>91</v>
      </c>
      <c r="X114" t="s">
        <v>126</v>
      </c>
      <c r="Y114" t="s">
        <v>190</v>
      </c>
      <c r="Z114" t="s">
        <v>191</v>
      </c>
      <c r="AA114" t="s">
        <v>239</v>
      </c>
      <c r="AB114" t="s">
        <v>240</v>
      </c>
      <c r="AC114" t="s">
        <v>241</v>
      </c>
      <c r="AD114" t="s">
        <v>132</v>
      </c>
      <c r="AE114" t="s">
        <v>133</v>
      </c>
      <c r="AF114" t="s">
        <v>100</v>
      </c>
      <c r="AG114" t="s">
        <v>102</v>
      </c>
      <c r="AH114" t="s">
        <v>102</v>
      </c>
      <c r="AI114" t="s">
        <v>134</v>
      </c>
      <c r="AJ114" t="s">
        <v>135</v>
      </c>
      <c r="AM114" t="s">
        <v>136</v>
      </c>
      <c r="AN114" t="s">
        <v>242</v>
      </c>
      <c r="AT114">
        <v>60</v>
      </c>
      <c r="AU114">
        <v>1.9</v>
      </c>
      <c r="AW114" t="s">
        <v>108</v>
      </c>
      <c r="AZ114" t="s">
        <v>109</v>
      </c>
      <c r="BA114" t="s">
        <v>142</v>
      </c>
      <c r="BB114">
        <v>5</v>
      </c>
      <c r="BC114">
        <v>10</v>
      </c>
      <c r="BD114">
        <v>0.15</v>
      </c>
      <c r="BE114" t="s">
        <v>139</v>
      </c>
      <c r="BF114">
        <v>14</v>
      </c>
      <c r="BG114">
        <f t="shared" si="4"/>
        <v>1.6666666666666666E-2</v>
      </c>
      <c r="BH114">
        <f t="shared" si="5"/>
        <v>0.16666666666666666</v>
      </c>
      <c r="BR114" t="s">
        <v>449</v>
      </c>
      <c r="BU114" t="s">
        <v>456</v>
      </c>
      <c r="BV114">
        <v>29.141935499999999</v>
      </c>
      <c r="BW114">
        <v>1.1398011800000001</v>
      </c>
      <c r="BX114">
        <v>3</v>
      </c>
      <c r="BY114">
        <v>31.3483871</v>
      </c>
      <c r="BZ114">
        <v>1.3744661199999999</v>
      </c>
      <c r="CA114">
        <v>3</v>
      </c>
      <c r="CB114" t="s">
        <v>113</v>
      </c>
      <c r="CC114" t="s">
        <v>451</v>
      </c>
    </row>
    <row r="115" spans="1:81" x14ac:dyDescent="0.25">
      <c r="A115" t="s">
        <v>81</v>
      </c>
      <c r="B115">
        <v>114</v>
      </c>
      <c r="C115">
        <v>32</v>
      </c>
      <c r="D115">
        <v>11</v>
      </c>
      <c r="E115">
        <v>29</v>
      </c>
      <c r="F115">
        <v>31</v>
      </c>
      <c r="G115">
        <v>66</v>
      </c>
      <c r="H115">
        <v>106</v>
      </c>
      <c r="I115" t="s">
        <v>442</v>
      </c>
      <c r="J115" t="s">
        <v>184</v>
      </c>
      <c r="L115" t="s">
        <v>443</v>
      </c>
      <c r="M115" t="s">
        <v>85</v>
      </c>
      <c r="O115" t="s">
        <v>14</v>
      </c>
      <c r="P115" t="s">
        <v>444</v>
      </c>
      <c r="Q115" t="s">
        <v>445</v>
      </c>
      <c r="R115">
        <v>1991</v>
      </c>
      <c r="S115" t="s">
        <v>446</v>
      </c>
      <c r="U115" t="s">
        <v>447</v>
      </c>
      <c r="V115" t="s">
        <v>448</v>
      </c>
      <c r="W115" t="s">
        <v>91</v>
      </c>
      <c r="X115" t="s">
        <v>126</v>
      </c>
      <c r="Y115" t="s">
        <v>190</v>
      </c>
      <c r="Z115" t="s">
        <v>191</v>
      </c>
      <c r="AA115" t="s">
        <v>239</v>
      </c>
      <c r="AB115" t="s">
        <v>240</v>
      </c>
      <c r="AC115" t="s">
        <v>241</v>
      </c>
      <c r="AD115" t="s">
        <v>132</v>
      </c>
      <c r="AE115" t="s">
        <v>133</v>
      </c>
      <c r="AF115" t="s">
        <v>100</v>
      </c>
      <c r="AG115" t="s">
        <v>102</v>
      </c>
      <c r="AH115" t="s">
        <v>102</v>
      </c>
      <c r="AI115" t="s">
        <v>134</v>
      </c>
      <c r="AJ115" t="s">
        <v>135</v>
      </c>
      <c r="AM115" t="s">
        <v>136</v>
      </c>
      <c r="AN115" t="s">
        <v>242</v>
      </c>
      <c r="AT115">
        <v>60</v>
      </c>
      <c r="AU115">
        <v>1.9</v>
      </c>
      <c r="AW115" t="s">
        <v>108</v>
      </c>
      <c r="AZ115" t="s">
        <v>109</v>
      </c>
      <c r="BA115" t="s">
        <v>142</v>
      </c>
      <c r="BB115">
        <v>10</v>
      </c>
      <c r="BC115">
        <v>15</v>
      </c>
      <c r="BD115">
        <v>0.15</v>
      </c>
      <c r="BE115" t="s">
        <v>139</v>
      </c>
      <c r="BF115">
        <v>14</v>
      </c>
      <c r="BG115">
        <f t="shared" si="4"/>
        <v>1.6666666666666666E-2</v>
      </c>
      <c r="BH115">
        <f t="shared" si="5"/>
        <v>0.16666666666666666</v>
      </c>
      <c r="BR115" t="s">
        <v>449</v>
      </c>
      <c r="BU115" t="s">
        <v>457</v>
      </c>
      <c r="BV115">
        <v>31.3483871</v>
      </c>
      <c r="BW115">
        <v>1.3744661199999999</v>
      </c>
      <c r="BX115">
        <v>3</v>
      </c>
      <c r="BY115">
        <v>32.509677400000001</v>
      </c>
      <c r="BZ115">
        <v>1.1398011800000001</v>
      </c>
      <c r="CA115">
        <v>3</v>
      </c>
      <c r="CB115" t="s">
        <v>113</v>
      </c>
      <c r="CC115" t="s">
        <v>451</v>
      </c>
    </row>
    <row r="116" spans="1:81" x14ac:dyDescent="0.25">
      <c r="A116" t="s">
        <v>81</v>
      </c>
      <c r="B116">
        <v>115</v>
      </c>
      <c r="C116">
        <v>32</v>
      </c>
      <c r="D116">
        <v>11</v>
      </c>
      <c r="E116">
        <v>29</v>
      </c>
      <c r="F116">
        <v>31</v>
      </c>
      <c r="G116">
        <v>66</v>
      </c>
      <c r="H116">
        <v>107</v>
      </c>
      <c r="I116" t="s">
        <v>442</v>
      </c>
      <c r="J116" t="s">
        <v>184</v>
      </c>
      <c r="L116" t="s">
        <v>443</v>
      </c>
      <c r="M116" t="s">
        <v>85</v>
      </c>
      <c r="O116" t="s">
        <v>14</v>
      </c>
      <c r="P116" t="s">
        <v>444</v>
      </c>
      <c r="Q116" t="s">
        <v>445</v>
      </c>
      <c r="R116">
        <v>1991</v>
      </c>
      <c r="S116" t="s">
        <v>446</v>
      </c>
      <c r="U116" t="s">
        <v>447</v>
      </c>
      <c r="V116" t="s">
        <v>448</v>
      </c>
      <c r="W116" t="s">
        <v>91</v>
      </c>
      <c r="X116" t="s">
        <v>126</v>
      </c>
      <c r="Y116" t="s">
        <v>190</v>
      </c>
      <c r="Z116" t="s">
        <v>191</v>
      </c>
      <c r="AA116" t="s">
        <v>239</v>
      </c>
      <c r="AB116" t="s">
        <v>240</v>
      </c>
      <c r="AC116" t="s">
        <v>241</v>
      </c>
      <c r="AD116" t="s">
        <v>132</v>
      </c>
      <c r="AE116" t="s">
        <v>133</v>
      </c>
      <c r="AF116" t="s">
        <v>100</v>
      </c>
      <c r="AG116" t="s">
        <v>102</v>
      </c>
      <c r="AH116" t="s">
        <v>102</v>
      </c>
      <c r="AI116" t="s">
        <v>134</v>
      </c>
      <c r="AJ116" t="s">
        <v>135</v>
      </c>
      <c r="AM116" t="s">
        <v>136</v>
      </c>
      <c r="AN116" t="s">
        <v>242</v>
      </c>
      <c r="AT116">
        <v>60</v>
      </c>
      <c r="AU116">
        <v>1.9</v>
      </c>
      <c r="AW116" t="s">
        <v>108</v>
      </c>
      <c r="AZ116" t="s">
        <v>109</v>
      </c>
      <c r="BA116" t="s">
        <v>142</v>
      </c>
      <c r="BB116">
        <v>15</v>
      </c>
      <c r="BC116">
        <v>20</v>
      </c>
      <c r="BD116">
        <v>0.15</v>
      </c>
      <c r="BE116" t="s">
        <v>139</v>
      </c>
      <c r="BF116">
        <v>14</v>
      </c>
      <c r="BG116">
        <f t="shared" si="4"/>
        <v>1.6666666666666666E-2</v>
      </c>
      <c r="BH116">
        <f t="shared" si="5"/>
        <v>0.16666666666666666</v>
      </c>
      <c r="BR116" t="s">
        <v>449</v>
      </c>
      <c r="BU116" t="s">
        <v>456</v>
      </c>
      <c r="BV116">
        <v>32.509677400000001</v>
      </c>
      <c r="BW116">
        <v>1.1398011800000001</v>
      </c>
      <c r="BX116">
        <v>3</v>
      </c>
      <c r="BY116">
        <v>32.587096799999998</v>
      </c>
      <c r="BZ116">
        <v>1.1398011800000001</v>
      </c>
      <c r="CA116">
        <v>3</v>
      </c>
      <c r="CB116" t="s">
        <v>113</v>
      </c>
      <c r="CC116" t="s">
        <v>451</v>
      </c>
    </row>
    <row r="117" spans="1:81" x14ac:dyDescent="0.25">
      <c r="A117" t="s">
        <v>81</v>
      </c>
      <c r="B117">
        <v>116</v>
      </c>
      <c r="C117">
        <v>32</v>
      </c>
      <c r="D117">
        <v>11</v>
      </c>
      <c r="E117">
        <v>29</v>
      </c>
      <c r="F117">
        <v>31</v>
      </c>
      <c r="G117">
        <v>66</v>
      </c>
      <c r="H117">
        <v>108</v>
      </c>
      <c r="I117" t="s">
        <v>442</v>
      </c>
      <c r="J117" t="s">
        <v>184</v>
      </c>
      <c r="L117" t="s">
        <v>443</v>
      </c>
      <c r="M117" t="s">
        <v>85</v>
      </c>
      <c r="O117" t="s">
        <v>14</v>
      </c>
      <c r="P117" t="s">
        <v>444</v>
      </c>
      <c r="Q117" t="s">
        <v>445</v>
      </c>
      <c r="R117">
        <v>1991</v>
      </c>
      <c r="S117" t="s">
        <v>446</v>
      </c>
      <c r="U117" t="s">
        <v>447</v>
      </c>
      <c r="V117" t="s">
        <v>448</v>
      </c>
      <c r="W117" t="s">
        <v>91</v>
      </c>
      <c r="X117" t="s">
        <v>126</v>
      </c>
      <c r="Y117" t="s">
        <v>190</v>
      </c>
      <c r="Z117" t="s">
        <v>191</v>
      </c>
      <c r="AA117" t="s">
        <v>239</v>
      </c>
      <c r="AB117" t="s">
        <v>240</v>
      </c>
      <c r="AC117" t="s">
        <v>241</v>
      </c>
      <c r="AD117" t="s">
        <v>132</v>
      </c>
      <c r="AE117" t="s">
        <v>133</v>
      </c>
      <c r="AF117" t="s">
        <v>100</v>
      </c>
      <c r="AG117" t="s">
        <v>102</v>
      </c>
      <c r="AH117" t="s">
        <v>102</v>
      </c>
      <c r="AI117" t="s">
        <v>134</v>
      </c>
      <c r="AJ117" t="s">
        <v>135</v>
      </c>
      <c r="AM117" t="s">
        <v>136</v>
      </c>
      <c r="AN117" t="s">
        <v>242</v>
      </c>
      <c r="AT117">
        <v>60</v>
      </c>
      <c r="AU117">
        <v>1.9</v>
      </c>
      <c r="AW117" t="s">
        <v>108</v>
      </c>
      <c r="AZ117" t="s">
        <v>109</v>
      </c>
      <c r="BA117" t="s">
        <v>142</v>
      </c>
      <c r="BB117">
        <v>20</v>
      </c>
      <c r="BC117">
        <v>25</v>
      </c>
      <c r="BD117">
        <v>0.15</v>
      </c>
      <c r="BE117" t="s">
        <v>139</v>
      </c>
      <c r="BF117">
        <v>14</v>
      </c>
      <c r="BG117">
        <f t="shared" si="4"/>
        <v>1.6666666666666666E-2</v>
      </c>
      <c r="BH117">
        <f t="shared" si="5"/>
        <v>0.16666666666666666</v>
      </c>
      <c r="BR117" t="s">
        <v>449</v>
      </c>
      <c r="BU117" t="s">
        <v>456</v>
      </c>
      <c r="BV117">
        <v>32.587096799999998</v>
      </c>
      <c r="BW117">
        <v>1.1398011800000001</v>
      </c>
      <c r="BX117">
        <v>3</v>
      </c>
      <c r="BY117">
        <v>33.341935499999998</v>
      </c>
      <c r="BZ117">
        <v>1.2068483000000001</v>
      </c>
      <c r="CA117">
        <v>3</v>
      </c>
      <c r="CB117" t="s">
        <v>113</v>
      </c>
      <c r="CC117" t="s">
        <v>451</v>
      </c>
    </row>
    <row r="118" spans="1:81" x14ac:dyDescent="0.25">
      <c r="A118" t="s">
        <v>81</v>
      </c>
      <c r="B118">
        <v>117</v>
      </c>
      <c r="C118">
        <v>32</v>
      </c>
      <c r="D118">
        <v>11</v>
      </c>
      <c r="E118">
        <v>29</v>
      </c>
      <c r="F118">
        <v>31</v>
      </c>
      <c r="G118">
        <v>66</v>
      </c>
      <c r="H118">
        <v>109</v>
      </c>
      <c r="I118" t="s">
        <v>442</v>
      </c>
      <c r="J118" t="s">
        <v>184</v>
      </c>
      <c r="L118" t="s">
        <v>443</v>
      </c>
      <c r="M118" t="s">
        <v>85</v>
      </c>
      <c r="O118" t="s">
        <v>14</v>
      </c>
      <c r="P118" t="s">
        <v>444</v>
      </c>
      <c r="Q118" t="s">
        <v>445</v>
      </c>
      <c r="R118">
        <v>1991</v>
      </c>
      <c r="S118" t="s">
        <v>446</v>
      </c>
      <c r="U118" t="s">
        <v>447</v>
      </c>
      <c r="V118" t="s">
        <v>448</v>
      </c>
      <c r="W118" t="s">
        <v>91</v>
      </c>
      <c r="X118" t="s">
        <v>126</v>
      </c>
      <c r="Y118" t="s">
        <v>190</v>
      </c>
      <c r="Z118" t="s">
        <v>191</v>
      </c>
      <c r="AA118" t="s">
        <v>239</v>
      </c>
      <c r="AB118" t="s">
        <v>240</v>
      </c>
      <c r="AC118" t="s">
        <v>241</v>
      </c>
      <c r="AD118" t="s">
        <v>132</v>
      </c>
      <c r="AE118" t="s">
        <v>133</v>
      </c>
      <c r="AF118" t="s">
        <v>100</v>
      </c>
      <c r="AG118" t="s">
        <v>102</v>
      </c>
      <c r="AH118" t="s">
        <v>102</v>
      </c>
      <c r="AI118" t="s">
        <v>134</v>
      </c>
      <c r="AJ118" t="s">
        <v>135</v>
      </c>
      <c r="AM118" t="s">
        <v>136</v>
      </c>
      <c r="AN118" t="s">
        <v>242</v>
      </c>
      <c r="AT118">
        <v>60</v>
      </c>
      <c r="AU118">
        <v>1.9</v>
      </c>
      <c r="AW118" t="s">
        <v>108</v>
      </c>
      <c r="AZ118" t="s">
        <v>109</v>
      </c>
      <c r="BA118" t="s">
        <v>142</v>
      </c>
      <c r="BB118">
        <v>25</v>
      </c>
      <c r="BC118">
        <v>27</v>
      </c>
      <c r="BD118">
        <v>0.15</v>
      </c>
      <c r="BE118" t="s">
        <v>139</v>
      </c>
      <c r="BF118">
        <v>14</v>
      </c>
      <c r="BG118">
        <f t="shared" si="4"/>
        <v>1.6666666666666666E-2</v>
      </c>
      <c r="BH118">
        <f t="shared" si="5"/>
        <v>0.16666666666666666</v>
      </c>
      <c r="BR118" t="s">
        <v>449</v>
      </c>
      <c r="BU118" t="s">
        <v>456</v>
      </c>
      <c r="BV118">
        <v>33.341935499999998</v>
      </c>
      <c r="BW118">
        <v>1.2068483000000001</v>
      </c>
      <c r="BX118">
        <v>3</v>
      </c>
      <c r="BY118">
        <v>33.283870999999998</v>
      </c>
      <c r="BZ118">
        <v>1.2403718699999999</v>
      </c>
      <c r="CA118">
        <v>3</v>
      </c>
      <c r="CB118" t="s">
        <v>113</v>
      </c>
      <c r="CC118" t="s">
        <v>451</v>
      </c>
    </row>
    <row r="119" spans="1:81" x14ac:dyDescent="0.25">
      <c r="A119" t="s">
        <v>81</v>
      </c>
      <c r="B119">
        <v>118</v>
      </c>
      <c r="C119">
        <v>32</v>
      </c>
      <c r="D119">
        <v>11</v>
      </c>
      <c r="E119">
        <v>29</v>
      </c>
      <c r="F119">
        <v>31</v>
      </c>
      <c r="G119">
        <v>67</v>
      </c>
      <c r="H119">
        <v>110</v>
      </c>
      <c r="I119" t="s">
        <v>442</v>
      </c>
      <c r="J119" t="s">
        <v>184</v>
      </c>
      <c r="L119" t="s">
        <v>443</v>
      </c>
      <c r="M119" t="s">
        <v>85</v>
      </c>
      <c r="O119" t="s">
        <v>14</v>
      </c>
      <c r="P119" t="s">
        <v>444</v>
      </c>
      <c r="Q119" t="s">
        <v>445</v>
      </c>
      <c r="R119">
        <v>1991</v>
      </c>
      <c r="S119" t="s">
        <v>446</v>
      </c>
      <c r="U119" t="s">
        <v>447</v>
      </c>
      <c r="V119" t="s">
        <v>448</v>
      </c>
      <c r="W119" t="s">
        <v>91</v>
      </c>
      <c r="X119" t="s">
        <v>126</v>
      </c>
      <c r="Y119" t="s">
        <v>190</v>
      </c>
      <c r="Z119" t="s">
        <v>191</v>
      </c>
      <c r="AA119" t="s">
        <v>239</v>
      </c>
      <c r="AB119" t="s">
        <v>240</v>
      </c>
      <c r="AC119" t="s">
        <v>241</v>
      </c>
      <c r="AD119" t="s">
        <v>132</v>
      </c>
      <c r="AE119" t="s">
        <v>133</v>
      </c>
      <c r="AF119" t="s">
        <v>100</v>
      </c>
      <c r="AG119" t="s">
        <v>102</v>
      </c>
      <c r="AH119" t="s">
        <v>102</v>
      </c>
      <c r="AI119" t="s">
        <v>134</v>
      </c>
      <c r="AJ119" t="s">
        <v>135</v>
      </c>
      <c r="AM119" t="s">
        <v>136</v>
      </c>
      <c r="AN119" t="s">
        <v>242</v>
      </c>
      <c r="AT119">
        <v>102</v>
      </c>
      <c r="AU119">
        <v>11</v>
      </c>
      <c r="AW119" t="s">
        <v>108</v>
      </c>
      <c r="AZ119" t="s">
        <v>109</v>
      </c>
      <c r="BA119" t="s">
        <v>142</v>
      </c>
      <c r="BB119">
        <v>5</v>
      </c>
      <c r="BC119">
        <v>10</v>
      </c>
      <c r="BD119">
        <v>0.15</v>
      </c>
      <c r="BE119" t="s">
        <v>139</v>
      </c>
      <c r="BF119">
        <v>14</v>
      </c>
      <c r="BG119">
        <f t="shared" si="4"/>
        <v>1.6666666666666666E-2</v>
      </c>
      <c r="BH119">
        <f t="shared" si="5"/>
        <v>0.16666666666666666</v>
      </c>
      <c r="BR119" t="s">
        <v>449</v>
      </c>
      <c r="BU119" t="s">
        <v>458</v>
      </c>
      <c r="BV119">
        <v>29.3354839</v>
      </c>
      <c r="BW119">
        <v>1.1398011800000001</v>
      </c>
      <c r="BX119">
        <v>3</v>
      </c>
      <c r="BY119">
        <v>30.554838700000001</v>
      </c>
      <c r="BZ119">
        <v>1.34094256</v>
      </c>
      <c r="CA119">
        <v>3</v>
      </c>
      <c r="CB119" t="s">
        <v>113</v>
      </c>
      <c r="CC119" t="s">
        <v>451</v>
      </c>
    </row>
    <row r="120" spans="1:81" x14ac:dyDescent="0.25">
      <c r="A120" t="s">
        <v>81</v>
      </c>
      <c r="B120">
        <v>119</v>
      </c>
      <c r="C120">
        <v>32</v>
      </c>
      <c r="D120">
        <v>11</v>
      </c>
      <c r="E120">
        <v>29</v>
      </c>
      <c r="F120">
        <v>31</v>
      </c>
      <c r="G120">
        <v>67</v>
      </c>
      <c r="H120">
        <v>111</v>
      </c>
      <c r="I120" t="s">
        <v>442</v>
      </c>
      <c r="J120" t="s">
        <v>184</v>
      </c>
      <c r="L120" t="s">
        <v>443</v>
      </c>
      <c r="M120" t="s">
        <v>85</v>
      </c>
      <c r="O120" t="s">
        <v>14</v>
      </c>
      <c r="P120" t="s">
        <v>444</v>
      </c>
      <c r="Q120" t="s">
        <v>445</v>
      </c>
      <c r="R120">
        <v>1991</v>
      </c>
      <c r="S120" t="s">
        <v>446</v>
      </c>
      <c r="U120" t="s">
        <v>447</v>
      </c>
      <c r="V120" t="s">
        <v>448</v>
      </c>
      <c r="W120" t="s">
        <v>91</v>
      </c>
      <c r="X120" t="s">
        <v>126</v>
      </c>
      <c r="Y120" t="s">
        <v>190</v>
      </c>
      <c r="Z120" t="s">
        <v>191</v>
      </c>
      <c r="AA120" t="s">
        <v>239</v>
      </c>
      <c r="AB120" t="s">
        <v>240</v>
      </c>
      <c r="AC120" t="s">
        <v>241</v>
      </c>
      <c r="AD120" t="s">
        <v>132</v>
      </c>
      <c r="AE120" t="s">
        <v>133</v>
      </c>
      <c r="AF120" t="s">
        <v>100</v>
      </c>
      <c r="AG120" t="s">
        <v>102</v>
      </c>
      <c r="AH120" t="s">
        <v>102</v>
      </c>
      <c r="AI120" t="s">
        <v>134</v>
      </c>
      <c r="AJ120" t="s">
        <v>135</v>
      </c>
      <c r="AM120" t="s">
        <v>136</v>
      </c>
      <c r="AN120" t="s">
        <v>242</v>
      </c>
      <c r="AT120">
        <v>102</v>
      </c>
      <c r="AU120">
        <v>11</v>
      </c>
      <c r="AW120" t="s">
        <v>108</v>
      </c>
      <c r="AZ120" t="s">
        <v>109</v>
      </c>
      <c r="BA120" t="s">
        <v>142</v>
      </c>
      <c r="BB120">
        <v>10</v>
      </c>
      <c r="BC120">
        <v>15</v>
      </c>
      <c r="BD120">
        <v>0.15</v>
      </c>
      <c r="BE120" t="s">
        <v>139</v>
      </c>
      <c r="BF120">
        <v>14</v>
      </c>
      <c r="BG120">
        <f t="shared" si="4"/>
        <v>1.6666666666666666E-2</v>
      </c>
      <c r="BH120">
        <f t="shared" si="5"/>
        <v>0.16666666666666666</v>
      </c>
      <c r="BR120" t="s">
        <v>449</v>
      </c>
      <c r="BU120" t="s">
        <v>458</v>
      </c>
      <c r="BV120">
        <v>30.554838700000001</v>
      </c>
      <c r="BW120">
        <v>1.34094256</v>
      </c>
      <c r="BX120">
        <v>3</v>
      </c>
      <c r="BY120">
        <v>32.064516099999999</v>
      </c>
      <c r="BZ120" t="s">
        <v>454</v>
      </c>
      <c r="CA120">
        <v>3</v>
      </c>
      <c r="CB120" t="s">
        <v>113</v>
      </c>
      <c r="CC120" t="s">
        <v>459</v>
      </c>
    </row>
    <row r="121" spans="1:81" x14ac:dyDescent="0.25">
      <c r="A121" t="s">
        <v>81</v>
      </c>
      <c r="B121">
        <v>120</v>
      </c>
      <c r="C121">
        <v>32</v>
      </c>
      <c r="D121">
        <v>11</v>
      </c>
      <c r="E121">
        <v>29</v>
      </c>
      <c r="F121">
        <v>31</v>
      </c>
      <c r="G121">
        <v>67</v>
      </c>
      <c r="H121">
        <v>112</v>
      </c>
      <c r="I121" t="s">
        <v>442</v>
      </c>
      <c r="J121" t="s">
        <v>184</v>
      </c>
      <c r="L121" t="s">
        <v>443</v>
      </c>
      <c r="M121" t="s">
        <v>85</v>
      </c>
      <c r="O121" t="s">
        <v>14</v>
      </c>
      <c r="P121" t="s">
        <v>444</v>
      </c>
      <c r="Q121" t="s">
        <v>445</v>
      </c>
      <c r="R121">
        <v>1991</v>
      </c>
      <c r="S121" t="s">
        <v>446</v>
      </c>
      <c r="U121" t="s">
        <v>447</v>
      </c>
      <c r="V121" t="s">
        <v>448</v>
      </c>
      <c r="W121" t="s">
        <v>91</v>
      </c>
      <c r="X121" t="s">
        <v>126</v>
      </c>
      <c r="Y121" t="s">
        <v>190</v>
      </c>
      <c r="Z121" t="s">
        <v>191</v>
      </c>
      <c r="AA121" t="s">
        <v>239</v>
      </c>
      <c r="AB121" t="s">
        <v>240</v>
      </c>
      <c r="AC121" t="s">
        <v>241</v>
      </c>
      <c r="AD121" t="s">
        <v>132</v>
      </c>
      <c r="AE121" t="s">
        <v>133</v>
      </c>
      <c r="AF121" t="s">
        <v>100</v>
      </c>
      <c r="AG121" t="s">
        <v>102</v>
      </c>
      <c r="AH121" t="s">
        <v>102</v>
      </c>
      <c r="AI121" t="s">
        <v>134</v>
      </c>
      <c r="AJ121" t="s">
        <v>135</v>
      </c>
      <c r="AM121" t="s">
        <v>136</v>
      </c>
      <c r="AN121" t="s">
        <v>242</v>
      </c>
      <c r="AT121">
        <v>102</v>
      </c>
      <c r="AU121">
        <v>11</v>
      </c>
      <c r="AW121" t="s">
        <v>108</v>
      </c>
      <c r="AZ121" t="s">
        <v>109</v>
      </c>
      <c r="BA121" t="s">
        <v>142</v>
      </c>
      <c r="BB121">
        <v>15</v>
      </c>
      <c r="BC121">
        <v>20</v>
      </c>
      <c r="BD121">
        <v>0.15</v>
      </c>
      <c r="BE121" t="s">
        <v>139</v>
      </c>
      <c r="BF121">
        <v>14</v>
      </c>
      <c r="BG121">
        <f t="shared" si="4"/>
        <v>1.6666666666666666E-2</v>
      </c>
      <c r="BH121">
        <f t="shared" si="5"/>
        <v>0.16666666666666666</v>
      </c>
      <c r="BR121" t="s">
        <v>449</v>
      </c>
      <c r="BT121" t="s">
        <v>452</v>
      </c>
      <c r="BU121" t="s">
        <v>458</v>
      </c>
      <c r="BV121">
        <v>32.064516099999999</v>
      </c>
      <c r="BW121" t="s">
        <v>454</v>
      </c>
      <c r="BX121">
        <v>3</v>
      </c>
      <c r="BY121">
        <v>33.187096799999999</v>
      </c>
      <c r="BZ121">
        <v>1.17332474</v>
      </c>
      <c r="CA121">
        <v>3</v>
      </c>
      <c r="CB121" t="s">
        <v>113</v>
      </c>
      <c r="CC121" t="s">
        <v>459</v>
      </c>
    </row>
    <row r="122" spans="1:81" x14ac:dyDescent="0.25">
      <c r="A122" t="s">
        <v>81</v>
      </c>
      <c r="B122">
        <v>121</v>
      </c>
      <c r="C122">
        <v>32</v>
      </c>
      <c r="D122">
        <v>11</v>
      </c>
      <c r="E122">
        <v>29</v>
      </c>
      <c r="F122">
        <v>31</v>
      </c>
      <c r="G122">
        <v>67</v>
      </c>
      <c r="H122">
        <v>113</v>
      </c>
      <c r="I122" t="s">
        <v>442</v>
      </c>
      <c r="J122" t="s">
        <v>184</v>
      </c>
      <c r="L122" t="s">
        <v>443</v>
      </c>
      <c r="M122" t="s">
        <v>85</v>
      </c>
      <c r="O122" t="s">
        <v>14</v>
      </c>
      <c r="P122" t="s">
        <v>444</v>
      </c>
      <c r="Q122" t="s">
        <v>445</v>
      </c>
      <c r="R122">
        <v>1991</v>
      </c>
      <c r="S122" t="s">
        <v>446</v>
      </c>
      <c r="U122" t="s">
        <v>447</v>
      </c>
      <c r="V122" t="s">
        <v>448</v>
      </c>
      <c r="W122" t="s">
        <v>91</v>
      </c>
      <c r="X122" t="s">
        <v>126</v>
      </c>
      <c r="Y122" t="s">
        <v>190</v>
      </c>
      <c r="Z122" t="s">
        <v>191</v>
      </c>
      <c r="AA122" t="s">
        <v>239</v>
      </c>
      <c r="AB122" t="s">
        <v>240</v>
      </c>
      <c r="AC122" t="s">
        <v>241</v>
      </c>
      <c r="AD122" t="s">
        <v>132</v>
      </c>
      <c r="AE122" t="s">
        <v>133</v>
      </c>
      <c r="AF122" t="s">
        <v>100</v>
      </c>
      <c r="AG122" t="s">
        <v>102</v>
      </c>
      <c r="AH122" t="s">
        <v>102</v>
      </c>
      <c r="AI122" t="s">
        <v>134</v>
      </c>
      <c r="AJ122" t="s">
        <v>135</v>
      </c>
      <c r="AM122" t="s">
        <v>136</v>
      </c>
      <c r="AN122" t="s">
        <v>242</v>
      </c>
      <c r="AT122">
        <v>102</v>
      </c>
      <c r="AU122">
        <v>11</v>
      </c>
      <c r="AW122" t="s">
        <v>108</v>
      </c>
      <c r="AZ122" t="s">
        <v>109</v>
      </c>
      <c r="BA122" t="s">
        <v>142</v>
      </c>
      <c r="BB122">
        <v>20</v>
      </c>
      <c r="BC122">
        <v>25</v>
      </c>
      <c r="BD122">
        <v>0.15</v>
      </c>
      <c r="BE122" t="s">
        <v>139</v>
      </c>
      <c r="BF122">
        <v>14</v>
      </c>
      <c r="BG122">
        <f t="shared" si="4"/>
        <v>1.6666666666666666E-2</v>
      </c>
      <c r="BH122">
        <f t="shared" si="5"/>
        <v>0.16666666666666666</v>
      </c>
      <c r="BR122" t="s">
        <v>449</v>
      </c>
      <c r="BU122" t="s">
        <v>458</v>
      </c>
      <c r="BV122">
        <v>33.187096799999999</v>
      </c>
      <c r="BW122">
        <v>1.17332474</v>
      </c>
      <c r="BX122">
        <v>3</v>
      </c>
      <c r="BY122">
        <v>32.683871000000003</v>
      </c>
      <c r="BZ122">
        <v>1.2738954300000001</v>
      </c>
      <c r="CA122">
        <v>3</v>
      </c>
      <c r="CB122" t="s">
        <v>113</v>
      </c>
      <c r="CC122" t="s">
        <v>451</v>
      </c>
    </row>
    <row r="123" spans="1:81" x14ac:dyDescent="0.25">
      <c r="A123" t="s">
        <v>81</v>
      </c>
      <c r="B123">
        <v>122</v>
      </c>
      <c r="C123">
        <v>32</v>
      </c>
      <c r="D123">
        <v>11</v>
      </c>
      <c r="E123">
        <v>29</v>
      </c>
      <c r="F123">
        <v>31</v>
      </c>
      <c r="G123">
        <v>67</v>
      </c>
      <c r="H123">
        <v>114</v>
      </c>
      <c r="I123" t="s">
        <v>442</v>
      </c>
      <c r="J123" t="s">
        <v>184</v>
      </c>
      <c r="L123" t="s">
        <v>443</v>
      </c>
      <c r="M123" t="s">
        <v>85</v>
      </c>
      <c r="O123" t="s">
        <v>14</v>
      </c>
      <c r="P123" t="s">
        <v>444</v>
      </c>
      <c r="Q123" t="s">
        <v>445</v>
      </c>
      <c r="R123">
        <v>1991</v>
      </c>
      <c r="S123" t="s">
        <v>446</v>
      </c>
      <c r="U123" t="s">
        <v>447</v>
      </c>
      <c r="V123" t="s">
        <v>448</v>
      </c>
      <c r="W123" t="s">
        <v>91</v>
      </c>
      <c r="X123" t="s">
        <v>126</v>
      </c>
      <c r="Y123" t="s">
        <v>190</v>
      </c>
      <c r="Z123" t="s">
        <v>191</v>
      </c>
      <c r="AA123" t="s">
        <v>239</v>
      </c>
      <c r="AB123" t="s">
        <v>240</v>
      </c>
      <c r="AC123" t="s">
        <v>241</v>
      </c>
      <c r="AD123" t="s">
        <v>132</v>
      </c>
      <c r="AE123" t="s">
        <v>133</v>
      </c>
      <c r="AF123" t="s">
        <v>100</v>
      </c>
      <c r="AG123" t="s">
        <v>102</v>
      </c>
      <c r="AH123" t="s">
        <v>102</v>
      </c>
      <c r="AI123" t="s">
        <v>134</v>
      </c>
      <c r="AJ123" t="s">
        <v>135</v>
      </c>
      <c r="AM123" t="s">
        <v>136</v>
      </c>
      <c r="AN123" t="s">
        <v>242</v>
      </c>
      <c r="AT123">
        <v>102</v>
      </c>
      <c r="AU123">
        <v>11</v>
      </c>
      <c r="AW123" t="s">
        <v>108</v>
      </c>
      <c r="AZ123" t="s">
        <v>109</v>
      </c>
      <c r="BA123" t="s">
        <v>142</v>
      </c>
      <c r="BB123">
        <v>25</v>
      </c>
      <c r="BC123">
        <v>27</v>
      </c>
      <c r="BD123">
        <v>0.15</v>
      </c>
      <c r="BE123" t="s">
        <v>139</v>
      </c>
      <c r="BF123">
        <v>14</v>
      </c>
      <c r="BG123">
        <f t="shared" si="4"/>
        <v>1.6666666666666666E-2</v>
      </c>
      <c r="BH123">
        <f t="shared" si="5"/>
        <v>0.16666666666666666</v>
      </c>
      <c r="BR123" t="s">
        <v>449</v>
      </c>
      <c r="BU123" t="s">
        <v>458</v>
      </c>
      <c r="BV123">
        <v>32.683871000000003</v>
      </c>
      <c r="BW123">
        <v>1.2738954300000001</v>
      </c>
      <c r="BX123">
        <v>3</v>
      </c>
      <c r="BY123">
        <v>32.625806500000003</v>
      </c>
      <c r="BZ123">
        <v>1.50856038</v>
      </c>
      <c r="CA123">
        <v>3</v>
      </c>
      <c r="CB123" t="s">
        <v>113</v>
      </c>
      <c r="CC123" t="s">
        <v>451</v>
      </c>
    </row>
    <row r="124" spans="1:81" x14ac:dyDescent="0.25">
      <c r="A124" t="s">
        <v>81</v>
      </c>
      <c r="B124">
        <v>123</v>
      </c>
      <c r="C124">
        <v>32</v>
      </c>
      <c r="D124">
        <v>11</v>
      </c>
      <c r="E124">
        <v>28</v>
      </c>
      <c r="F124">
        <v>30</v>
      </c>
      <c r="G124">
        <v>68</v>
      </c>
      <c r="H124">
        <v>95</v>
      </c>
      <c r="I124" t="s">
        <v>442</v>
      </c>
      <c r="J124" t="s">
        <v>184</v>
      </c>
      <c r="L124" t="s">
        <v>460</v>
      </c>
      <c r="M124" t="s">
        <v>85</v>
      </c>
      <c r="O124" t="s">
        <v>14</v>
      </c>
      <c r="P124" t="s">
        <v>444</v>
      </c>
      <c r="Q124" t="s">
        <v>445</v>
      </c>
      <c r="R124">
        <v>1991</v>
      </c>
      <c r="S124" t="s">
        <v>446</v>
      </c>
      <c r="U124" t="s">
        <v>447</v>
      </c>
      <c r="V124" t="s">
        <v>448</v>
      </c>
      <c r="W124" t="s">
        <v>91</v>
      </c>
      <c r="X124" t="s">
        <v>126</v>
      </c>
      <c r="Y124" t="s">
        <v>190</v>
      </c>
      <c r="Z124" t="s">
        <v>191</v>
      </c>
      <c r="AA124" t="s">
        <v>239</v>
      </c>
      <c r="AB124" t="s">
        <v>240</v>
      </c>
      <c r="AC124" t="s">
        <v>241</v>
      </c>
      <c r="AD124" t="s">
        <v>132</v>
      </c>
      <c r="AE124" t="s">
        <v>133</v>
      </c>
      <c r="AF124" t="s">
        <v>100</v>
      </c>
      <c r="AG124" t="s">
        <v>102</v>
      </c>
      <c r="AH124" t="s">
        <v>102</v>
      </c>
      <c r="AI124" t="s">
        <v>134</v>
      </c>
      <c r="AJ124" t="s">
        <v>135</v>
      </c>
      <c r="AM124" t="s">
        <v>136</v>
      </c>
      <c r="AN124" t="s">
        <v>242</v>
      </c>
      <c r="AT124">
        <v>50</v>
      </c>
      <c r="AU124">
        <v>1.5</v>
      </c>
      <c r="AW124" t="s">
        <v>108</v>
      </c>
      <c r="AZ124" t="s">
        <v>212</v>
      </c>
      <c r="BA124" t="s">
        <v>142</v>
      </c>
      <c r="BB124">
        <v>5</v>
      </c>
      <c r="BC124">
        <v>10</v>
      </c>
      <c r="BD124">
        <v>0.15</v>
      </c>
      <c r="BE124" t="s">
        <v>139</v>
      </c>
      <c r="BF124">
        <v>14</v>
      </c>
      <c r="BH124">
        <f t="shared" ref="BH124:BH143" si="6">100/60</f>
        <v>1.6666666666666667</v>
      </c>
      <c r="BI124">
        <v>8</v>
      </c>
      <c r="BJ124">
        <v>5</v>
      </c>
      <c r="BK124">
        <v>1</v>
      </c>
      <c r="BR124" t="s">
        <v>449</v>
      </c>
      <c r="BT124" t="s">
        <v>461</v>
      </c>
      <c r="BU124" t="s">
        <v>462</v>
      </c>
      <c r="BV124">
        <v>27.602005399999999</v>
      </c>
      <c r="BW124">
        <v>1.69482705</v>
      </c>
      <c r="BX124">
        <v>5</v>
      </c>
      <c r="BY124">
        <v>28.795776199999999</v>
      </c>
      <c r="BZ124">
        <v>1.2287496099999999</v>
      </c>
      <c r="CA124">
        <v>5</v>
      </c>
      <c r="CB124" t="s">
        <v>113</v>
      </c>
      <c r="CC124" t="s">
        <v>451</v>
      </c>
    </row>
    <row r="125" spans="1:81" x14ac:dyDescent="0.25">
      <c r="A125" t="s">
        <v>81</v>
      </c>
      <c r="B125">
        <v>124</v>
      </c>
      <c r="C125">
        <v>32</v>
      </c>
      <c r="D125">
        <v>11</v>
      </c>
      <c r="E125">
        <v>28</v>
      </c>
      <c r="F125">
        <v>30</v>
      </c>
      <c r="G125">
        <v>68</v>
      </c>
      <c r="H125">
        <v>96</v>
      </c>
      <c r="I125" t="s">
        <v>442</v>
      </c>
      <c r="J125" t="s">
        <v>184</v>
      </c>
      <c r="L125" t="s">
        <v>443</v>
      </c>
      <c r="M125" t="s">
        <v>85</v>
      </c>
      <c r="O125" t="s">
        <v>14</v>
      </c>
      <c r="P125" t="s">
        <v>444</v>
      </c>
      <c r="Q125" t="s">
        <v>445</v>
      </c>
      <c r="R125">
        <v>1991</v>
      </c>
      <c r="S125" t="s">
        <v>446</v>
      </c>
      <c r="U125" t="s">
        <v>447</v>
      </c>
      <c r="V125" t="s">
        <v>448</v>
      </c>
      <c r="W125" t="s">
        <v>91</v>
      </c>
      <c r="X125" t="s">
        <v>126</v>
      </c>
      <c r="Y125" t="s">
        <v>190</v>
      </c>
      <c r="Z125" t="s">
        <v>191</v>
      </c>
      <c r="AA125" t="s">
        <v>239</v>
      </c>
      <c r="AB125" t="s">
        <v>240</v>
      </c>
      <c r="AC125" t="s">
        <v>241</v>
      </c>
      <c r="AD125" t="s">
        <v>132</v>
      </c>
      <c r="AE125" t="s">
        <v>133</v>
      </c>
      <c r="AF125" t="s">
        <v>100</v>
      </c>
      <c r="AG125" t="s">
        <v>102</v>
      </c>
      <c r="AH125" t="s">
        <v>102</v>
      </c>
      <c r="AI125" t="s">
        <v>134</v>
      </c>
      <c r="AJ125" t="s">
        <v>135</v>
      </c>
      <c r="AM125" t="s">
        <v>136</v>
      </c>
      <c r="AN125" t="s">
        <v>242</v>
      </c>
      <c r="AT125">
        <v>50</v>
      </c>
      <c r="AU125">
        <v>1.5</v>
      </c>
      <c r="AW125" t="s">
        <v>108</v>
      </c>
      <c r="AZ125" t="s">
        <v>212</v>
      </c>
      <c r="BA125" t="s">
        <v>142</v>
      </c>
      <c r="BB125">
        <v>10</v>
      </c>
      <c r="BC125">
        <v>15</v>
      </c>
      <c r="BD125">
        <v>0.15</v>
      </c>
      <c r="BE125" t="s">
        <v>139</v>
      </c>
      <c r="BF125">
        <v>14</v>
      </c>
      <c r="BH125">
        <f t="shared" si="6"/>
        <v>1.6666666666666667</v>
      </c>
      <c r="BI125">
        <v>8</v>
      </c>
      <c r="BJ125">
        <v>5</v>
      </c>
      <c r="BK125">
        <v>1</v>
      </c>
      <c r="BR125" t="s">
        <v>449</v>
      </c>
      <c r="BT125" t="s">
        <v>461</v>
      </c>
      <c r="BU125" t="s">
        <v>462</v>
      </c>
      <c r="BV125">
        <v>28.795776199999999</v>
      </c>
      <c r="BW125">
        <v>1.2287496099999999</v>
      </c>
      <c r="BX125">
        <v>5</v>
      </c>
      <c r="BY125">
        <v>29.5158284</v>
      </c>
      <c r="BZ125">
        <v>1.1440082600000001</v>
      </c>
      <c r="CA125">
        <v>5</v>
      </c>
      <c r="CB125" t="s">
        <v>113</v>
      </c>
      <c r="CC125" t="s">
        <v>451</v>
      </c>
    </row>
    <row r="126" spans="1:81" x14ac:dyDescent="0.25">
      <c r="A126" t="s">
        <v>81</v>
      </c>
      <c r="B126">
        <v>125</v>
      </c>
      <c r="C126">
        <v>32</v>
      </c>
      <c r="D126">
        <v>11</v>
      </c>
      <c r="E126">
        <v>28</v>
      </c>
      <c r="F126">
        <v>30</v>
      </c>
      <c r="G126">
        <v>68</v>
      </c>
      <c r="H126">
        <v>97</v>
      </c>
      <c r="I126" t="s">
        <v>442</v>
      </c>
      <c r="J126" t="s">
        <v>184</v>
      </c>
      <c r="L126" t="s">
        <v>460</v>
      </c>
      <c r="M126" t="s">
        <v>85</v>
      </c>
      <c r="O126" t="s">
        <v>14</v>
      </c>
      <c r="P126" t="s">
        <v>444</v>
      </c>
      <c r="Q126" t="s">
        <v>445</v>
      </c>
      <c r="R126">
        <v>1991</v>
      </c>
      <c r="S126" t="s">
        <v>446</v>
      </c>
      <c r="U126" t="s">
        <v>447</v>
      </c>
      <c r="V126" t="s">
        <v>448</v>
      </c>
      <c r="W126" t="s">
        <v>91</v>
      </c>
      <c r="X126" t="s">
        <v>126</v>
      </c>
      <c r="Y126" t="s">
        <v>190</v>
      </c>
      <c r="Z126" t="s">
        <v>191</v>
      </c>
      <c r="AA126" t="s">
        <v>239</v>
      </c>
      <c r="AB126" t="s">
        <v>240</v>
      </c>
      <c r="AC126" t="s">
        <v>241</v>
      </c>
      <c r="AD126" t="s">
        <v>132</v>
      </c>
      <c r="AE126" t="s">
        <v>133</v>
      </c>
      <c r="AF126" t="s">
        <v>100</v>
      </c>
      <c r="AG126" t="s">
        <v>102</v>
      </c>
      <c r="AH126" t="s">
        <v>102</v>
      </c>
      <c r="AI126" t="s">
        <v>134</v>
      </c>
      <c r="AJ126" t="s">
        <v>135</v>
      </c>
      <c r="AM126" t="s">
        <v>136</v>
      </c>
      <c r="AN126" t="s">
        <v>242</v>
      </c>
      <c r="AT126">
        <v>50</v>
      </c>
      <c r="AU126">
        <v>1.5</v>
      </c>
      <c r="AW126" t="s">
        <v>108</v>
      </c>
      <c r="AZ126" t="s">
        <v>212</v>
      </c>
      <c r="BA126" t="s">
        <v>142</v>
      </c>
      <c r="BB126">
        <v>15</v>
      </c>
      <c r="BC126">
        <v>20</v>
      </c>
      <c r="BD126">
        <v>0.15</v>
      </c>
      <c r="BE126" t="s">
        <v>139</v>
      </c>
      <c r="BF126">
        <v>14</v>
      </c>
      <c r="BH126">
        <f t="shared" si="6"/>
        <v>1.6666666666666667</v>
      </c>
      <c r="BI126">
        <v>8</v>
      </c>
      <c r="BJ126">
        <v>5</v>
      </c>
      <c r="BK126">
        <v>1</v>
      </c>
      <c r="BR126" t="s">
        <v>449</v>
      </c>
      <c r="BT126" t="s">
        <v>461</v>
      </c>
      <c r="BU126" t="s">
        <v>462</v>
      </c>
      <c r="BV126">
        <v>29.5158284</v>
      </c>
      <c r="BW126">
        <v>1.1440082600000001</v>
      </c>
      <c r="BX126">
        <v>5</v>
      </c>
      <c r="BY126">
        <v>30.747496699999999</v>
      </c>
      <c r="BZ126">
        <v>1.1863789300000001</v>
      </c>
      <c r="CA126">
        <v>5</v>
      </c>
      <c r="CB126" t="s">
        <v>113</v>
      </c>
      <c r="CC126" t="s">
        <v>451</v>
      </c>
    </row>
    <row r="127" spans="1:81" x14ac:dyDescent="0.25">
      <c r="A127" t="s">
        <v>81</v>
      </c>
      <c r="B127">
        <v>126</v>
      </c>
      <c r="C127">
        <v>32</v>
      </c>
      <c r="D127">
        <v>11</v>
      </c>
      <c r="E127">
        <v>28</v>
      </c>
      <c r="F127">
        <v>30</v>
      </c>
      <c r="G127">
        <v>68</v>
      </c>
      <c r="H127">
        <v>98</v>
      </c>
      <c r="I127" t="s">
        <v>442</v>
      </c>
      <c r="J127" t="s">
        <v>184</v>
      </c>
      <c r="L127" t="s">
        <v>443</v>
      </c>
      <c r="M127" t="s">
        <v>85</v>
      </c>
      <c r="O127" t="s">
        <v>14</v>
      </c>
      <c r="P127" t="s">
        <v>444</v>
      </c>
      <c r="Q127" t="s">
        <v>445</v>
      </c>
      <c r="R127">
        <v>1991</v>
      </c>
      <c r="S127" t="s">
        <v>446</v>
      </c>
      <c r="U127" t="s">
        <v>447</v>
      </c>
      <c r="V127" t="s">
        <v>448</v>
      </c>
      <c r="W127" t="s">
        <v>91</v>
      </c>
      <c r="X127" t="s">
        <v>126</v>
      </c>
      <c r="Y127" t="s">
        <v>190</v>
      </c>
      <c r="Z127" t="s">
        <v>191</v>
      </c>
      <c r="AA127" t="s">
        <v>239</v>
      </c>
      <c r="AB127" t="s">
        <v>240</v>
      </c>
      <c r="AC127" t="s">
        <v>241</v>
      </c>
      <c r="AD127" t="s">
        <v>132</v>
      </c>
      <c r="AE127" t="s">
        <v>133</v>
      </c>
      <c r="AF127" t="s">
        <v>100</v>
      </c>
      <c r="AG127" t="s">
        <v>102</v>
      </c>
      <c r="AH127" t="s">
        <v>102</v>
      </c>
      <c r="AI127" t="s">
        <v>134</v>
      </c>
      <c r="AJ127" t="s">
        <v>135</v>
      </c>
      <c r="AM127" t="s">
        <v>136</v>
      </c>
      <c r="AN127" t="s">
        <v>242</v>
      </c>
      <c r="AT127">
        <v>50</v>
      </c>
      <c r="AU127">
        <v>1.5</v>
      </c>
      <c r="AW127" t="s">
        <v>108</v>
      </c>
      <c r="AZ127" t="s">
        <v>212</v>
      </c>
      <c r="BA127" t="s">
        <v>142</v>
      </c>
      <c r="BB127">
        <v>20</v>
      </c>
      <c r="BC127">
        <v>25</v>
      </c>
      <c r="BD127">
        <v>0.15</v>
      </c>
      <c r="BE127" t="s">
        <v>139</v>
      </c>
      <c r="BF127">
        <v>14</v>
      </c>
      <c r="BH127">
        <f t="shared" si="6"/>
        <v>1.6666666666666667</v>
      </c>
      <c r="BI127">
        <v>8</v>
      </c>
      <c r="BJ127">
        <v>5</v>
      </c>
      <c r="BK127">
        <v>1</v>
      </c>
      <c r="BR127" t="s">
        <v>449</v>
      </c>
      <c r="BT127" t="s">
        <v>461</v>
      </c>
      <c r="BU127" t="s">
        <v>462</v>
      </c>
      <c r="BV127">
        <v>30.747496699999999</v>
      </c>
      <c r="BW127">
        <v>1.1863789300000001</v>
      </c>
      <c r="BX127">
        <v>5</v>
      </c>
      <c r="BY127">
        <v>30.292726900000002</v>
      </c>
      <c r="BZ127">
        <v>1.52534434</v>
      </c>
      <c r="CA127">
        <v>5</v>
      </c>
      <c r="CB127" t="s">
        <v>113</v>
      </c>
      <c r="CC127" t="s">
        <v>451</v>
      </c>
    </row>
    <row r="128" spans="1:81" x14ac:dyDescent="0.25">
      <c r="A128" t="s">
        <v>81</v>
      </c>
      <c r="B128">
        <v>127</v>
      </c>
      <c r="C128">
        <v>32</v>
      </c>
      <c r="D128">
        <v>11</v>
      </c>
      <c r="E128">
        <v>28</v>
      </c>
      <c r="F128">
        <v>30</v>
      </c>
      <c r="G128">
        <v>68</v>
      </c>
      <c r="H128">
        <v>99</v>
      </c>
      <c r="I128" t="s">
        <v>442</v>
      </c>
      <c r="J128" t="s">
        <v>184</v>
      </c>
      <c r="L128" t="s">
        <v>460</v>
      </c>
      <c r="M128" t="s">
        <v>85</v>
      </c>
      <c r="O128" t="s">
        <v>14</v>
      </c>
      <c r="P128" t="s">
        <v>444</v>
      </c>
      <c r="Q128" t="s">
        <v>445</v>
      </c>
      <c r="R128">
        <v>1991</v>
      </c>
      <c r="S128" t="s">
        <v>446</v>
      </c>
      <c r="U128" t="s">
        <v>447</v>
      </c>
      <c r="V128" t="s">
        <v>448</v>
      </c>
      <c r="W128" t="s">
        <v>91</v>
      </c>
      <c r="X128" t="s">
        <v>126</v>
      </c>
      <c r="Y128" t="s">
        <v>190</v>
      </c>
      <c r="Z128" t="s">
        <v>191</v>
      </c>
      <c r="AA128" t="s">
        <v>239</v>
      </c>
      <c r="AB128" t="s">
        <v>240</v>
      </c>
      <c r="AC128" t="s">
        <v>241</v>
      </c>
      <c r="AD128" t="s">
        <v>132</v>
      </c>
      <c r="AE128" t="s">
        <v>133</v>
      </c>
      <c r="AF128" t="s">
        <v>100</v>
      </c>
      <c r="AG128" t="s">
        <v>102</v>
      </c>
      <c r="AH128" t="s">
        <v>102</v>
      </c>
      <c r="AI128" t="s">
        <v>134</v>
      </c>
      <c r="AJ128" t="s">
        <v>135</v>
      </c>
      <c r="AM128" t="s">
        <v>136</v>
      </c>
      <c r="AN128" t="s">
        <v>242</v>
      </c>
      <c r="AT128">
        <v>50</v>
      </c>
      <c r="AU128">
        <v>1.5</v>
      </c>
      <c r="AW128" t="s">
        <v>108</v>
      </c>
      <c r="AZ128" t="s">
        <v>212</v>
      </c>
      <c r="BA128" t="s">
        <v>142</v>
      </c>
      <c r="BB128">
        <v>25</v>
      </c>
      <c r="BC128">
        <v>27</v>
      </c>
      <c r="BD128">
        <v>0.15</v>
      </c>
      <c r="BE128" t="s">
        <v>139</v>
      </c>
      <c r="BF128">
        <v>14</v>
      </c>
      <c r="BH128">
        <f t="shared" si="6"/>
        <v>1.6666666666666667</v>
      </c>
      <c r="BI128">
        <v>8</v>
      </c>
      <c r="BJ128">
        <v>5</v>
      </c>
      <c r="BK128">
        <v>1</v>
      </c>
      <c r="BR128" t="s">
        <v>449</v>
      </c>
      <c r="BT128" t="s">
        <v>461</v>
      </c>
      <c r="BU128" t="s">
        <v>462</v>
      </c>
      <c r="BV128">
        <v>30.292726900000002</v>
      </c>
      <c r="BW128">
        <v>1.52534434</v>
      </c>
      <c r="BX128">
        <v>5</v>
      </c>
      <c r="BY128">
        <v>31.126471500000001</v>
      </c>
      <c r="BZ128">
        <v>1.5677150200000001</v>
      </c>
      <c r="CA128">
        <v>5</v>
      </c>
      <c r="CB128" t="s">
        <v>113</v>
      </c>
      <c r="CC128" t="s">
        <v>451</v>
      </c>
    </row>
    <row r="129" spans="1:81" x14ac:dyDescent="0.25">
      <c r="A129" t="s">
        <v>81</v>
      </c>
      <c r="B129">
        <v>128</v>
      </c>
      <c r="C129">
        <v>32</v>
      </c>
      <c r="D129">
        <v>11</v>
      </c>
      <c r="E129">
        <v>28</v>
      </c>
      <c r="F129">
        <v>30</v>
      </c>
      <c r="G129">
        <v>69</v>
      </c>
      <c r="H129">
        <v>100</v>
      </c>
      <c r="I129" t="s">
        <v>442</v>
      </c>
      <c r="J129" t="s">
        <v>184</v>
      </c>
      <c r="L129" t="s">
        <v>443</v>
      </c>
      <c r="M129" t="s">
        <v>85</v>
      </c>
      <c r="O129" t="s">
        <v>14</v>
      </c>
      <c r="P129" t="s">
        <v>444</v>
      </c>
      <c r="Q129" t="s">
        <v>445</v>
      </c>
      <c r="R129">
        <v>1991</v>
      </c>
      <c r="S129" t="s">
        <v>446</v>
      </c>
      <c r="U129" t="s">
        <v>447</v>
      </c>
      <c r="V129" t="s">
        <v>448</v>
      </c>
      <c r="W129" t="s">
        <v>91</v>
      </c>
      <c r="X129" t="s">
        <v>126</v>
      </c>
      <c r="Y129" t="s">
        <v>190</v>
      </c>
      <c r="Z129" t="s">
        <v>191</v>
      </c>
      <c r="AA129" t="s">
        <v>239</v>
      </c>
      <c r="AB129" t="s">
        <v>240</v>
      </c>
      <c r="AC129" t="s">
        <v>241</v>
      </c>
      <c r="AD129" t="s">
        <v>132</v>
      </c>
      <c r="AE129" t="s">
        <v>133</v>
      </c>
      <c r="AF129" t="s">
        <v>100</v>
      </c>
      <c r="AG129" t="s">
        <v>102</v>
      </c>
      <c r="AH129" t="s">
        <v>102</v>
      </c>
      <c r="AI129" t="s">
        <v>134</v>
      </c>
      <c r="AJ129" t="s">
        <v>135</v>
      </c>
      <c r="AM129" t="s">
        <v>136</v>
      </c>
      <c r="AN129" t="s">
        <v>242</v>
      </c>
      <c r="AT129">
        <v>100</v>
      </c>
      <c r="AU129">
        <v>11</v>
      </c>
      <c r="AW129" t="s">
        <v>108</v>
      </c>
      <c r="AZ129" t="s">
        <v>212</v>
      </c>
      <c r="BA129" t="s">
        <v>142</v>
      </c>
      <c r="BB129">
        <v>5</v>
      </c>
      <c r="BC129">
        <v>10</v>
      </c>
      <c r="BD129">
        <v>0.15</v>
      </c>
      <c r="BE129" t="s">
        <v>139</v>
      </c>
      <c r="BF129">
        <v>14</v>
      </c>
      <c r="BH129">
        <f t="shared" si="6"/>
        <v>1.6666666666666667</v>
      </c>
      <c r="BI129">
        <v>8</v>
      </c>
      <c r="BJ129">
        <v>5</v>
      </c>
      <c r="BK129">
        <v>1</v>
      </c>
      <c r="BR129" t="s">
        <v>449</v>
      </c>
      <c r="BT129" t="s">
        <v>463</v>
      </c>
      <c r="BU129" t="s">
        <v>464</v>
      </c>
      <c r="BV129">
        <v>27.980980299999999</v>
      </c>
      <c r="BW129" t="s">
        <v>454</v>
      </c>
      <c r="BX129">
        <v>5</v>
      </c>
      <c r="BY129">
        <v>29.136853599999998</v>
      </c>
      <c r="BZ129">
        <v>1.1863789300000001</v>
      </c>
      <c r="CA129">
        <v>5</v>
      </c>
      <c r="CB129" t="s">
        <v>113</v>
      </c>
      <c r="CC129" t="s">
        <v>455</v>
      </c>
    </row>
    <row r="130" spans="1:81" x14ac:dyDescent="0.25">
      <c r="A130" t="s">
        <v>81</v>
      </c>
      <c r="B130">
        <v>129</v>
      </c>
      <c r="C130">
        <v>32</v>
      </c>
      <c r="D130">
        <v>11</v>
      </c>
      <c r="E130">
        <v>28</v>
      </c>
      <c r="F130">
        <v>30</v>
      </c>
      <c r="G130">
        <v>69</v>
      </c>
      <c r="H130">
        <v>101</v>
      </c>
      <c r="I130" t="s">
        <v>442</v>
      </c>
      <c r="J130" t="s">
        <v>184</v>
      </c>
      <c r="L130" t="s">
        <v>460</v>
      </c>
      <c r="M130" t="s">
        <v>85</v>
      </c>
      <c r="O130" t="s">
        <v>14</v>
      </c>
      <c r="P130" t="s">
        <v>444</v>
      </c>
      <c r="Q130" t="s">
        <v>445</v>
      </c>
      <c r="R130">
        <v>1991</v>
      </c>
      <c r="S130" t="s">
        <v>446</v>
      </c>
      <c r="U130" t="s">
        <v>447</v>
      </c>
      <c r="V130" t="s">
        <v>448</v>
      </c>
      <c r="W130" t="s">
        <v>91</v>
      </c>
      <c r="X130" t="s">
        <v>126</v>
      </c>
      <c r="Y130" t="s">
        <v>190</v>
      </c>
      <c r="Z130" t="s">
        <v>191</v>
      </c>
      <c r="AA130" t="s">
        <v>239</v>
      </c>
      <c r="AB130" t="s">
        <v>240</v>
      </c>
      <c r="AC130" t="s">
        <v>241</v>
      </c>
      <c r="AD130" t="s">
        <v>132</v>
      </c>
      <c r="AE130" t="s">
        <v>133</v>
      </c>
      <c r="AF130" t="s">
        <v>100</v>
      </c>
      <c r="AG130" t="s">
        <v>102</v>
      </c>
      <c r="AH130" t="s">
        <v>102</v>
      </c>
      <c r="AI130" t="s">
        <v>134</v>
      </c>
      <c r="AJ130" t="s">
        <v>135</v>
      </c>
      <c r="AM130" t="s">
        <v>136</v>
      </c>
      <c r="AN130" t="s">
        <v>242</v>
      </c>
      <c r="AT130">
        <v>100</v>
      </c>
      <c r="AU130">
        <v>11</v>
      </c>
      <c r="AW130" t="s">
        <v>108</v>
      </c>
      <c r="AZ130" t="s">
        <v>212</v>
      </c>
      <c r="BA130" t="s">
        <v>142</v>
      </c>
      <c r="BB130">
        <v>10</v>
      </c>
      <c r="BC130">
        <v>15</v>
      </c>
      <c r="BD130">
        <v>0.15</v>
      </c>
      <c r="BE130" t="s">
        <v>139</v>
      </c>
      <c r="BF130">
        <v>14</v>
      </c>
      <c r="BH130">
        <f t="shared" si="6"/>
        <v>1.6666666666666667</v>
      </c>
      <c r="BI130">
        <v>8</v>
      </c>
      <c r="BJ130">
        <v>5</v>
      </c>
      <c r="BK130">
        <v>1</v>
      </c>
      <c r="BR130" t="s">
        <v>449</v>
      </c>
      <c r="BT130" t="s">
        <v>461</v>
      </c>
      <c r="BU130" t="s">
        <v>464</v>
      </c>
      <c r="BV130">
        <v>29.136853599999998</v>
      </c>
      <c r="BW130">
        <v>1.1863789300000001</v>
      </c>
      <c r="BX130">
        <v>5</v>
      </c>
      <c r="BY130">
        <v>30.292726900000002</v>
      </c>
      <c r="BZ130">
        <v>1.8643097500000001</v>
      </c>
      <c r="CA130">
        <v>5</v>
      </c>
      <c r="CB130" t="s">
        <v>113</v>
      </c>
      <c r="CC130" t="s">
        <v>451</v>
      </c>
    </row>
    <row r="131" spans="1:81" x14ac:dyDescent="0.25">
      <c r="A131" t="s">
        <v>81</v>
      </c>
      <c r="B131">
        <v>130</v>
      </c>
      <c r="C131">
        <v>32</v>
      </c>
      <c r="D131">
        <v>11</v>
      </c>
      <c r="E131">
        <v>28</v>
      </c>
      <c r="F131">
        <v>30</v>
      </c>
      <c r="G131">
        <v>69</v>
      </c>
      <c r="H131">
        <v>102</v>
      </c>
      <c r="I131" t="s">
        <v>442</v>
      </c>
      <c r="J131" t="s">
        <v>184</v>
      </c>
      <c r="L131" t="s">
        <v>443</v>
      </c>
      <c r="M131" t="s">
        <v>85</v>
      </c>
      <c r="O131" t="s">
        <v>14</v>
      </c>
      <c r="P131" t="s">
        <v>444</v>
      </c>
      <c r="Q131" t="s">
        <v>445</v>
      </c>
      <c r="R131">
        <v>1991</v>
      </c>
      <c r="S131" t="s">
        <v>446</v>
      </c>
      <c r="U131" t="s">
        <v>447</v>
      </c>
      <c r="V131" t="s">
        <v>448</v>
      </c>
      <c r="W131" t="s">
        <v>91</v>
      </c>
      <c r="X131" t="s">
        <v>126</v>
      </c>
      <c r="Y131" t="s">
        <v>190</v>
      </c>
      <c r="Z131" t="s">
        <v>191</v>
      </c>
      <c r="AA131" t="s">
        <v>239</v>
      </c>
      <c r="AB131" t="s">
        <v>240</v>
      </c>
      <c r="AC131" t="s">
        <v>241</v>
      </c>
      <c r="AD131" t="s">
        <v>132</v>
      </c>
      <c r="AE131" t="s">
        <v>133</v>
      </c>
      <c r="AF131" t="s">
        <v>100</v>
      </c>
      <c r="AG131" t="s">
        <v>102</v>
      </c>
      <c r="AH131" t="s">
        <v>102</v>
      </c>
      <c r="AI131" t="s">
        <v>134</v>
      </c>
      <c r="AJ131" t="s">
        <v>135</v>
      </c>
      <c r="AM131" t="s">
        <v>136</v>
      </c>
      <c r="AN131" t="s">
        <v>242</v>
      </c>
      <c r="AT131">
        <v>100</v>
      </c>
      <c r="AU131">
        <v>11</v>
      </c>
      <c r="AW131" t="s">
        <v>108</v>
      </c>
      <c r="AZ131" t="s">
        <v>212</v>
      </c>
      <c r="BA131" t="s">
        <v>142</v>
      </c>
      <c r="BB131">
        <v>15</v>
      </c>
      <c r="BC131">
        <v>20</v>
      </c>
      <c r="BD131">
        <v>0.15</v>
      </c>
      <c r="BE131" t="s">
        <v>139</v>
      </c>
      <c r="BF131">
        <v>14</v>
      </c>
      <c r="BH131">
        <f t="shared" si="6"/>
        <v>1.6666666666666667</v>
      </c>
      <c r="BI131">
        <v>8</v>
      </c>
      <c r="BJ131">
        <v>5</v>
      </c>
      <c r="BK131">
        <v>1</v>
      </c>
      <c r="BR131" t="s">
        <v>449</v>
      </c>
      <c r="BT131" t="s">
        <v>461</v>
      </c>
      <c r="BU131" t="s">
        <v>464</v>
      </c>
      <c r="BV131">
        <v>30.292726900000002</v>
      </c>
      <c r="BW131">
        <v>1.8643097500000001</v>
      </c>
      <c r="BX131">
        <v>5</v>
      </c>
      <c r="BY131">
        <v>31.069625299999998</v>
      </c>
      <c r="BZ131">
        <v>1.52534434</v>
      </c>
      <c r="CA131">
        <v>5</v>
      </c>
      <c r="CB131" t="s">
        <v>113</v>
      </c>
      <c r="CC131" t="s">
        <v>451</v>
      </c>
    </row>
    <row r="132" spans="1:81" x14ac:dyDescent="0.25">
      <c r="A132" t="s">
        <v>81</v>
      </c>
      <c r="B132">
        <v>131</v>
      </c>
      <c r="C132">
        <v>32</v>
      </c>
      <c r="D132">
        <v>11</v>
      </c>
      <c r="E132">
        <v>28</v>
      </c>
      <c r="F132">
        <v>30</v>
      </c>
      <c r="G132">
        <v>69</v>
      </c>
      <c r="H132">
        <v>103</v>
      </c>
      <c r="I132" t="s">
        <v>442</v>
      </c>
      <c r="J132" t="s">
        <v>184</v>
      </c>
      <c r="L132" t="s">
        <v>460</v>
      </c>
      <c r="M132" t="s">
        <v>85</v>
      </c>
      <c r="O132" t="s">
        <v>14</v>
      </c>
      <c r="P132" t="s">
        <v>444</v>
      </c>
      <c r="Q132" t="s">
        <v>445</v>
      </c>
      <c r="R132">
        <v>1991</v>
      </c>
      <c r="S132" t="s">
        <v>446</v>
      </c>
      <c r="U132" t="s">
        <v>447</v>
      </c>
      <c r="V132" t="s">
        <v>448</v>
      </c>
      <c r="W132" t="s">
        <v>91</v>
      </c>
      <c r="X132" t="s">
        <v>126</v>
      </c>
      <c r="Y132" t="s">
        <v>190</v>
      </c>
      <c r="Z132" t="s">
        <v>191</v>
      </c>
      <c r="AA132" t="s">
        <v>239</v>
      </c>
      <c r="AB132" t="s">
        <v>240</v>
      </c>
      <c r="AC132" t="s">
        <v>241</v>
      </c>
      <c r="AD132" t="s">
        <v>132</v>
      </c>
      <c r="AE132" t="s">
        <v>133</v>
      </c>
      <c r="AF132" t="s">
        <v>100</v>
      </c>
      <c r="AG132" t="s">
        <v>102</v>
      </c>
      <c r="AH132" t="s">
        <v>102</v>
      </c>
      <c r="AI132" t="s">
        <v>134</v>
      </c>
      <c r="AJ132" t="s">
        <v>135</v>
      </c>
      <c r="AM132" t="s">
        <v>136</v>
      </c>
      <c r="AN132" t="s">
        <v>242</v>
      </c>
      <c r="AT132">
        <v>100</v>
      </c>
      <c r="AU132">
        <v>11</v>
      </c>
      <c r="AW132" t="s">
        <v>108</v>
      </c>
      <c r="AZ132" t="s">
        <v>212</v>
      </c>
      <c r="BA132" t="s">
        <v>142</v>
      </c>
      <c r="BB132">
        <v>20</v>
      </c>
      <c r="BC132">
        <v>25</v>
      </c>
      <c r="BD132">
        <v>0.15</v>
      </c>
      <c r="BE132" t="s">
        <v>139</v>
      </c>
      <c r="BF132">
        <v>14</v>
      </c>
      <c r="BH132">
        <f t="shared" si="6"/>
        <v>1.6666666666666667</v>
      </c>
      <c r="BI132">
        <v>8</v>
      </c>
      <c r="BJ132">
        <v>5</v>
      </c>
      <c r="BK132">
        <v>1</v>
      </c>
      <c r="BR132" t="s">
        <v>449</v>
      </c>
      <c r="BT132" t="s">
        <v>461</v>
      </c>
      <c r="BU132" t="s">
        <v>464</v>
      </c>
      <c r="BV132">
        <v>31.069625299999998</v>
      </c>
      <c r="BW132">
        <v>1.52534434</v>
      </c>
      <c r="BX132">
        <v>5</v>
      </c>
      <c r="BY132">
        <v>30.652753000000001</v>
      </c>
      <c r="BZ132">
        <v>1.4406029899999999</v>
      </c>
      <c r="CA132">
        <v>5</v>
      </c>
      <c r="CB132" t="s">
        <v>113</v>
      </c>
      <c r="CC132" t="s">
        <v>451</v>
      </c>
    </row>
    <row r="133" spans="1:81" x14ac:dyDescent="0.25">
      <c r="A133" t="s">
        <v>81</v>
      </c>
      <c r="B133">
        <v>132</v>
      </c>
      <c r="C133">
        <v>32</v>
      </c>
      <c r="D133">
        <v>11</v>
      </c>
      <c r="E133">
        <v>28</v>
      </c>
      <c r="F133">
        <v>30</v>
      </c>
      <c r="G133">
        <v>69</v>
      </c>
      <c r="H133">
        <v>104</v>
      </c>
      <c r="I133" t="s">
        <v>442</v>
      </c>
      <c r="J133" t="s">
        <v>184</v>
      </c>
      <c r="L133" t="s">
        <v>443</v>
      </c>
      <c r="M133" t="s">
        <v>85</v>
      </c>
      <c r="O133" t="s">
        <v>14</v>
      </c>
      <c r="P133" t="s">
        <v>444</v>
      </c>
      <c r="Q133" t="s">
        <v>445</v>
      </c>
      <c r="R133">
        <v>1991</v>
      </c>
      <c r="S133" t="s">
        <v>446</v>
      </c>
      <c r="U133" t="s">
        <v>447</v>
      </c>
      <c r="V133" t="s">
        <v>448</v>
      </c>
      <c r="W133" t="s">
        <v>91</v>
      </c>
      <c r="X133" t="s">
        <v>126</v>
      </c>
      <c r="Y133" t="s">
        <v>190</v>
      </c>
      <c r="Z133" t="s">
        <v>191</v>
      </c>
      <c r="AA133" t="s">
        <v>239</v>
      </c>
      <c r="AB133" t="s">
        <v>240</v>
      </c>
      <c r="AC133" t="s">
        <v>241</v>
      </c>
      <c r="AD133" t="s">
        <v>132</v>
      </c>
      <c r="AE133" t="s">
        <v>133</v>
      </c>
      <c r="AF133" t="s">
        <v>100</v>
      </c>
      <c r="AG133" t="s">
        <v>102</v>
      </c>
      <c r="AH133" t="s">
        <v>102</v>
      </c>
      <c r="AI133" t="s">
        <v>134</v>
      </c>
      <c r="AJ133" t="s">
        <v>135</v>
      </c>
      <c r="AM133" t="s">
        <v>136</v>
      </c>
      <c r="AN133" t="s">
        <v>242</v>
      </c>
      <c r="AT133">
        <v>100</v>
      </c>
      <c r="AU133">
        <v>11</v>
      </c>
      <c r="AW133" t="s">
        <v>108</v>
      </c>
      <c r="AZ133" t="s">
        <v>212</v>
      </c>
      <c r="BA133" t="s">
        <v>142</v>
      </c>
      <c r="BB133">
        <v>25</v>
      </c>
      <c r="BC133">
        <v>27</v>
      </c>
      <c r="BD133">
        <v>0.15</v>
      </c>
      <c r="BE133" t="s">
        <v>139</v>
      </c>
      <c r="BF133">
        <v>14</v>
      </c>
      <c r="BH133">
        <f t="shared" si="6"/>
        <v>1.6666666666666667</v>
      </c>
      <c r="BI133">
        <v>8</v>
      </c>
      <c r="BJ133">
        <v>5</v>
      </c>
      <c r="BK133">
        <v>1</v>
      </c>
      <c r="BR133" t="s">
        <v>449</v>
      </c>
      <c r="BT133" t="s">
        <v>461</v>
      </c>
      <c r="BU133" t="s">
        <v>464</v>
      </c>
      <c r="BV133">
        <v>30.652753000000001</v>
      </c>
      <c r="BW133">
        <v>1.4406029899999999</v>
      </c>
      <c r="BX133">
        <v>5</v>
      </c>
      <c r="BY133">
        <v>30.766445399999999</v>
      </c>
      <c r="BZ133">
        <v>1.31349096</v>
      </c>
      <c r="CA133">
        <v>5</v>
      </c>
      <c r="CB133" t="s">
        <v>113</v>
      </c>
      <c r="CC133" t="s">
        <v>451</v>
      </c>
    </row>
    <row r="134" spans="1:81" x14ac:dyDescent="0.25">
      <c r="A134" t="s">
        <v>81</v>
      </c>
      <c r="B134">
        <v>133</v>
      </c>
      <c r="C134">
        <v>32</v>
      </c>
      <c r="D134">
        <v>11</v>
      </c>
      <c r="E134">
        <v>29</v>
      </c>
      <c r="F134">
        <v>31</v>
      </c>
      <c r="G134">
        <v>70</v>
      </c>
      <c r="H134">
        <v>105</v>
      </c>
      <c r="I134" t="s">
        <v>442</v>
      </c>
      <c r="J134" t="s">
        <v>184</v>
      </c>
      <c r="L134" t="s">
        <v>460</v>
      </c>
      <c r="M134" t="s">
        <v>85</v>
      </c>
      <c r="O134" t="s">
        <v>14</v>
      </c>
      <c r="P134" t="s">
        <v>444</v>
      </c>
      <c r="Q134" t="s">
        <v>445</v>
      </c>
      <c r="R134">
        <v>1991</v>
      </c>
      <c r="S134" t="s">
        <v>446</v>
      </c>
      <c r="U134" t="s">
        <v>447</v>
      </c>
      <c r="V134" t="s">
        <v>448</v>
      </c>
      <c r="W134" t="s">
        <v>91</v>
      </c>
      <c r="X134" t="s">
        <v>126</v>
      </c>
      <c r="Y134" t="s">
        <v>190</v>
      </c>
      <c r="Z134" t="s">
        <v>191</v>
      </c>
      <c r="AA134" t="s">
        <v>239</v>
      </c>
      <c r="AB134" t="s">
        <v>240</v>
      </c>
      <c r="AC134" t="s">
        <v>241</v>
      </c>
      <c r="AD134" t="s">
        <v>132</v>
      </c>
      <c r="AE134" t="s">
        <v>133</v>
      </c>
      <c r="AF134" t="s">
        <v>100</v>
      </c>
      <c r="AG134" t="s">
        <v>102</v>
      </c>
      <c r="AH134" t="s">
        <v>102</v>
      </c>
      <c r="AI134" t="s">
        <v>134</v>
      </c>
      <c r="AJ134" t="s">
        <v>135</v>
      </c>
      <c r="AM134" t="s">
        <v>136</v>
      </c>
      <c r="AN134" t="s">
        <v>242</v>
      </c>
      <c r="AT134">
        <v>60</v>
      </c>
      <c r="AU134">
        <v>1.9</v>
      </c>
      <c r="AW134" t="s">
        <v>108</v>
      </c>
      <c r="AZ134" t="s">
        <v>212</v>
      </c>
      <c r="BA134" t="s">
        <v>142</v>
      </c>
      <c r="BB134">
        <v>5</v>
      </c>
      <c r="BC134">
        <v>10</v>
      </c>
      <c r="BD134">
        <v>0.15</v>
      </c>
      <c r="BE134" t="s">
        <v>139</v>
      </c>
      <c r="BF134">
        <v>14</v>
      </c>
      <c r="BH134">
        <f t="shared" si="6"/>
        <v>1.6666666666666667</v>
      </c>
      <c r="BI134">
        <v>8</v>
      </c>
      <c r="BJ134">
        <v>3</v>
      </c>
      <c r="BK134">
        <v>1</v>
      </c>
      <c r="BR134" t="s">
        <v>449</v>
      </c>
      <c r="BT134" t="s">
        <v>461</v>
      </c>
      <c r="BU134" t="s">
        <v>465</v>
      </c>
      <c r="BV134">
        <v>27.980980299999999</v>
      </c>
      <c r="BW134">
        <v>1.4112679400000001</v>
      </c>
      <c r="BX134">
        <v>3</v>
      </c>
      <c r="BY134">
        <v>29.080007299999998</v>
      </c>
      <c r="BZ134">
        <v>1.5097285</v>
      </c>
      <c r="CA134">
        <v>3</v>
      </c>
      <c r="CB134" t="s">
        <v>113</v>
      </c>
      <c r="CC134" t="s">
        <v>451</v>
      </c>
    </row>
    <row r="135" spans="1:81" x14ac:dyDescent="0.25">
      <c r="A135" t="s">
        <v>81</v>
      </c>
      <c r="B135">
        <v>134</v>
      </c>
      <c r="C135">
        <v>32</v>
      </c>
      <c r="D135">
        <v>11</v>
      </c>
      <c r="E135">
        <v>29</v>
      </c>
      <c r="F135">
        <v>31</v>
      </c>
      <c r="G135">
        <v>70</v>
      </c>
      <c r="H135">
        <v>106</v>
      </c>
      <c r="I135" t="s">
        <v>442</v>
      </c>
      <c r="J135" t="s">
        <v>184</v>
      </c>
      <c r="L135" t="s">
        <v>443</v>
      </c>
      <c r="M135" t="s">
        <v>85</v>
      </c>
      <c r="O135" t="s">
        <v>14</v>
      </c>
      <c r="P135" t="s">
        <v>444</v>
      </c>
      <c r="Q135" t="s">
        <v>445</v>
      </c>
      <c r="R135">
        <v>1991</v>
      </c>
      <c r="S135" t="s">
        <v>446</v>
      </c>
      <c r="U135" t="s">
        <v>447</v>
      </c>
      <c r="V135" t="s">
        <v>448</v>
      </c>
      <c r="W135" t="s">
        <v>91</v>
      </c>
      <c r="X135" t="s">
        <v>126</v>
      </c>
      <c r="Y135" t="s">
        <v>190</v>
      </c>
      <c r="Z135" t="s">
        <v>191</v>
      </c>
      <c r="AA135" t="s">
        <v>239</v>
      </c>
      <c r="AB135" t="s">
        <v>240</v>
      </c>
      <c r="AC135" t="s">
        <v>241</v>
      </c>
      <c r="AD135" t="s">
        <v>132</v>
      </c>
      <c r="AE135" t="s">
        <v>133</v>
      </c>
      <c r="AF135" t="s">
        <v>100</v>
      </c>
      <c r="AG135" t="s">
        <v>102</v>
      </c>
      <c r="AH135" t="s">
        <v>102</v>
      </c>
      <c r="AI135" t="s">
        <v>134</v>
      </c>
      <c r="AJ135" t="s">
        <v>135</v>
      </c>
      <c r="AM135" t="s">
        <v>136</v>
      </c>
      <c r="AN135" t="s">
        <v>242</v>
      </c>
      <c r="AT135">
        <v>60</v>
      </c>
      <c r="AU135">
        <v>1.9</v>
      </c>
      <c r="AW135" t="s">
        <v>108</v>
      </c>
      <c r="AZ135" t="s">
        <v>212</v>
      </c>
      <c r="BA135" t="s">
        <v>142</v>
      </c>
      <c r="BB135">
        <v>10</v>
      </c>
      <c r="BC135">
        <v>15</v>
      </c>
      <c r="BD135">
        <v>0.15</v>
      </c>
      <c r="BE135" t="s">
        <v>139</v>
      </c>
      <c r="BF135">
        <v>14</v>
      </c>
      <c r="BH135">
        <f t="shared" si="6"/>
        <v>1.6666666666666667</v>
      </c>
      <c r="BI135">
        <v>8</v>
      </c>
      <c r="BJ135">
        <v>3</v>
      </c>
      <c r="BK135">
        <v>1</v>
      </c>
      <c r="BR135" t="s">
        <v>449</v>
      </c>
      <c r="BT135" t="s">
        <v>466</v>
      </c>
      <c r="BU135" t="s">
        <v>465</v>
      </c>
      <c r="BV135">
        <v>29.080007299999998</v>
      </c>
      <c r="BW135">
        <v>1.5097285</v>
      </c>
      <c r="BX135">
        <v>3</v>
      </c>
      <c r="BY135">
        <v>29.8948033</v>
      </c>
      <c r="BZ135" t="s">
        <v>454</v>
      </c>
      <c r="CA135">
        <v>3</v>
      </c>
      <c r="CB135" t="s">
        <v>113</v>
      </c>
      <c r="CC135" t="s">
        <v>459</v>
      </c>
    </row>
    <row r="136" spans="1:81" x14ac:dyDescent="0.25">
      <c r="A136" t="s">
        <v>81</v>
      </c>
      <c r="B136">
        <v>135</v>
      </c>
      <c r="C136">
        <v>32</v>
      </c>
      <c r="D136">
        <v>11</v>
      </c>
      <c r="E136">
        <v>29</v>
      </c>
      <c r="F136">
        <v>31</v>
      </c>
      <c r="G136">
        <v>70</v>
      </c>
      <c r="H136">
        <v>107</v>
      </c>
      <c r="I136" t="s">
        <v>442</v>
      </c>
      <c r="J136" t="s">
        <v>184</v>
      </c>
      <c r="L136" t="s">
        <v>460</v>
      </c>
      <c r="M136" t="s">
        <v>85</v>
      </c>
      <c r="O136" t="s">
        <v>14</v>
      </c>
      <c r="P136" t="s">
        <v>444</v>
      </c>
      <c r="Q136" t="s">
        <v>445</v>
      </c>
      <c r="R136">
        <v>1991</v>
      </c>
      <c r="S136" t="s">
        <v>446</v>
      </c>
      <c r="U136" t="s">
        <v>447</v>
      </c>
      <c r="V136" t="s">
        <v>448</v>
      </c>
      <c r="W136" t="s">
        <v>91</v>
      </c>
      <c r="X136" t="s">
        <v>126</v>
      </c>
      <c r="Y136" t="s">
        <v>190</v>
      </c>
      <c r="Z136" t="s">
        <v>191</v>
      </c>
      <c r="AA136" t="s">
        <v>239</v>
      </c>
      <c r="AB136" t="s">
        <v>240</v>
      </c>
      <c r="AC136" t="s">
        <v>241</v>
      </c>
      <c r="AD136" t="s">
        <v>132</v>
      </c>
      <c r="AE136" t="s">
        <v>133</v>
      </c>
      <c r="AF136" t="s">
        <v>100</v>
      </c>
      <c r="AG136" t="s">
        <v>102</v>
      </c>
      <c r="AH136" t="s">
        <v>102</v>
      </c>
      <c r="AI136" t="s">
        <v>134</v>
      </c>
      <c r="AJ136" t="s">
        <v>135</v>
      </c>
      <c r="AM136" t="s">
        <v>136</v>
      </c>
      <c r="AN136" t="s">
        <v>242</v>
      </c>
      <c r="AT136">
        <v>60</v>
      </c>
      <c r="AU136">
        <v>1.9</v>
      </c>
      <c r="AW136" t="s">
        <v>108</v>
      </c>
      <c r="AZ136" t="s">
        <v>212</v>
      </c>
      <c r="BA136" t="s">
        <v>142</v>
      </c>
      <c r="BB136">
        <v>15</v>
      </c>
      <c r="BC136">
        <v>20</v>
      </c>
      <c r="BD136">
        <v>0.15</v>
      </c>
      <c r="BE136" t="s">
        <v>139</v>
      </c>
      <c r="BF136">
        <v>14</v>
      </c>
      <c r="BH136">
        <f t="shared" si="6"/>
        <v>1.6666666666666667</v>
      </c>
      <c r="BI136">
        <v>8</v>
      </c>
      <c r="BJ136">
        <v>3</v>
      </c>
      <c r="BK136">
        <v>1</v>
      </c>
      <c r="BR136" t="s">
        <v>449</v>
      </c>
      <c r="BT136" t="s">
        <v>467</v>
      </c>
      <c r="BU136" t="s">
        <v>465</v>
      </c>
      <c r="BV136">
        <v>29.8948033</v>
      </c>
      <c r="BW136" t="s">
        <v>454</v>
      </c>
      <c r="BX136">
        <v>3</v>
      </c>
      <c r="BY136">
        <v>30.558009299999998</v>
      </c>
      <c r="BZ136">
        <v>1.57536886</v>
      </c>
      <c r="CA136">
        <v>3</v>
      </c>
      <c r="CB136" t="s">
        <v>113</v>
      </c>
      <c r="CC136" t="s">
        <v>459</v>
      </c>
    </row>
    <row r="137" spans="1:81" x14ac:dyDescent="0.25">
      <c r="A137" t="s">
        <v>81</v>
      </c>
      <c r="B137">
        <v>136</v>
      </c>
      <c r="C137">
        <v>32</v>
      </c>
      <c r="D137">
        <v>11</v>
      </c>
      <c r="E137">
        <v>29</v>
      </c>
      <c r="F137">
        <v>31</v>
      </c>
      <c r="G137">
        <v>70</v>
      </c>
      <c r="H137">
        <v>108</v>
      </c>
      <c r="I137" t="s">
        <v>442</v>
      </c>
      <c r="J137" t="s">
        <v>184</v>
      </c>
      <c r="L137" t="s">
        <v>443</v>
      </c>
      <c r="M137" t="s">
        <v>85</v>
      </c>
      <c r="O137" t="s">
        <v>14</v>
      </c>
      <c r="P137" t="s">
        <v>444</v>
      </c>
      <c r="Q137" t="s">
        <v>445</v>
      </c>
      <c r="R137">
        <v>1991</v>
      </c>
      <c r="S137" t="s">
        <v>446</v>
      </c>
      <c r="U137" t="s">
        <v>447</v>
      </c>
      <c r="V137" t="s">
        <v>448</v>
      </c>
      <c r="W137" t="s">
        <v>91</v>
      </c>
      <c r="X137" t="s">
        <v>126</v>
      </c>
      <c r="Y137" t="s">
        <v>190</v>
      </c>
      <c r="Z137" t="s">
        <v>191</v>
      </c>
      <c r="AA137" t="s">
        <v>239</v>
      </c>
      <c r="AB137" t="s">
        <v>240</v>
      </c>
      <c r="AC137" t="s">
        <v>241</v>
      </c>
      <c r="AD137" t="s">
        <v>132</v>
      </c>
      <c r="AE137" t="s">
        <v>133</v>
      </c>
      <c r="AF137" t="s">
        <v>100</v>
      </c>
      <c r="AG137" t="s">
        <v>102</v>
      </c>
      <c r="AH137" t="s">
        <v>102</v>
      </c>
      <c r="AI137" t="s">
        <v>134</v>
      </c>
      <c r="AJ137" t="s">
        <v>135</v>
      </c>
      <c r="AM137" t="s">
        <v>136</v>
      </c>
      <c r="AN137" t="s">
        <v>242</v>
      </c>
      <c r="AT137">
        <v>60</v>
      </c>
      <c r="AU137">
        <v>1.9</v>
      </c>
      <c r="AW137" t="s">
        <v>108</v>
      </c>
      <c r="AZ137" t="s">
        <v>212</v>
      </c>
      <c r="BA137" t="s">
        <v>142</v>
      </c>
      <c r="BB137">
        <v>20</v>
      </c>
      <c r="BC137">
        <v>25</v>
      </c>
      <c r="BD137">
        <v>0.15</v>
      </c>
      <c r="BE137" t="s">
        <v>139</v>
      </c>
      <c r="BF137">
        <v>14</v>
      </c>
      <c r="BH137">
        <f t="shared" si="6"/>
        <v>1.6666666666666667</v>
      </c>
      <c r="BI137">
        <v>8</v>
      </c>
      <c r="BJ137">
        <v>3</v>
      </c>
      <c r="BK137">
        <v>1</v>
      </c>
      <c r="BR137" t="s">
        <v>449</v>
      </c>
      <c r="BT137" t="s">
        <v>468</v>
      </c>
      <c r="BU137" t="s">
        <v>465</v>
      </c>
      <c r="BV137">
        <v>30.558009299999998</v>
      </c>
      <c r="BW137">
        <v>1.57536886</v>
      </c>
      <c r="BX137">
        <v>3</v>
      </c>
      <c r="BY137">
        <v>31.884421199999998</v>
      </c>
      <c r="BZ137" t="s">
        <v>454</v>
      </c>
      <c r="CA137">
        <v>3</v>
      </c>
      <c r="CB137" t="s">
        <v>113</v>
      </c>
      <c r="CC137" t="s">
        <v>469</v>
      </c>
    </row>
    <row r="138" spans="1:81" x14ac:dyDescent="0.25">
      <c r="A138" t="s">
        <v>81</v>
      </c>
      <c r="B138">
        <v>137</v>
      </c>
      <c r="C138">
        <v>32</v>
      </c>
      <c r="D138">
        <v>11</v>
      </c>
      <c r="E138">
        <v>29</v>
      </c>
      <c r="F138">
        <v>31</v>
      </c>
      <c r="G138">
        <v>70</v>
      </c>
      <c r="H138">
        <v>109</v>
      </c>
      <c r="I138" t="s">
        <v>442</v>
      </c>
      <c r="J138" t="s">
        <v>184</v>
      </c>
      <c r="L138" t="s">
        <v>460</v>
      </c>
      <c r="M138" t="s">
        <v>85</v>
      </c>
      <c r="O138" t="s">
        <v>14</v>
      </c>
      <c r="P138" t="s">
        <v>444</v>
      </c>
      <c r="Q138" t="s">
        <v>445</v>
      </c>
      <c r="R138">
        <v>1991</v>
      </c>
      <c r="S138" t="s">
        <v>446</v>
      </c>
      <c r="U138" t="s">
        <v>447</v>
      </c>
      <c r="V138" t="s">
        <v>448</v>
      </c>
      <c r="W138" t="s">
        <v>91</v>
      </c>
      <c r="X138" t="s">
        <v>126</v>
      </c>
      <c r="Y138" t="s">
        <v>190</v>
      </c>
      <c r="Z138" t="s">
        <v>191</v>
      </c>
      <c r="AA138" t="s">
        <v>239</v>
      </c>
      <c r="AB138" t="s">
        <v>240</v>
      </c>
      <c r="AC138" t="s">
        <v>241</v>
      </c>
      <c r="AD138" t="s">
        <v>132</v>
      </c>
      <c r="AE138" t="s">
        <v>133</v>
      </c>
      <c r="AF138" t="s">
        <v>100</v>
      </c>
      <c r="AG138" t="s">
        <v>102</v>
      </c>
      <c r="AH138" t="s">
        <v>102</v>
      </c>
      <c r="AI138" t="s">
        <v>134</v>
      </c>
      <c r="AJ138" t="s">
        <v>135</v>
      </c>
      <c r="AM138" t="s">
        <v>136</v>
      </c>
      <c r="AN138" t="s">
        <v>242</v>
      </c>
      <c r="AT138">
        <v>60</v>
      </c>
      <c r="AU138">
        <v>1.9</v>
      </c>
      <c r="AW138" t="s">
        <v>108</v>
      </c>
      <c r="AZ138" t="s">
        <v>212</v>
      </c>
      <c r="BA138" t="s">
        <v>142</v>
      </c>
      <c r="BB138">
        <v>25</v>
      </c>
      <c r="BC138">
        <v>27</v>
      </c>
      <c r="BD138">
        <v>0.15</v>
      </c>
      <c r="BE138" t="s">
        <v>139</v>
      </c>
      <c r="BF138">
        <v>14</v>
      </c>
      <c r="BH138">
        <f t="shared" si="6"/>
        <v>1.6666666666666667</v>
      </c>
      <c r="BI138">
        <v>8</v>
      </c>
      <c r="BJ138">
        <v>3</v>
      </c>
      <c r="BK138">
        <v>1</v>
      </c>
      <c r="BR138" t="s">
        <v>449</v>
      </c>
      <c r="BT138" t="s">
        <v>468</v>
      </c>
      <c r="BU138" t="s">
        <v>465</v>
      </c>
      <c r="BV138">
        <v>31.884421199999998</v>
      </c>
      <c r="BW138" t="s">
        <v>454</v>
      </c>
      <c r="BX138">
        <v>3</v>
      </c>
      <c r="BY138">
        <v>31.846523699999999</v>
      </c>
      <c r="BZ138">
        <v>1.7722899700000001</v>
      </c>
      <c r="CA138">
        <v>3</v>
      </c>
      <c r="CB138" t="s">
        <v>113</v>
      </c>
      <c r="CC138" t="s">
        <v>469</v>
      </c>
    </row>
    <row r="139" spans="1:81" x14ac:dyDescent="0.25">
      <c r="A139" t="s">
        <v>81</v>
      </c>
      <c r="B139">
        <v>138</v>
      </c>
      <c r="C139">
        <v>32</v>
      </c>
      <c r="D139">
        <v>11</v>
      </c>
      <c r="E139">
        <v>29</v>
      </c>
      <c r="F139">
        <v>31</v>
      </c>
      <c r="G139">
        <v>71</v>
      </c>
      <c r="H139">
        <v>110</v>
      </c>
      <c r="I139" t="s">
        <v>442</v>
      </c>
      <c r="J139" t="s">
        <v>184</v>
      </c>
      <c r="L139" t="s">
        <v>443</v>
      </c>
      <c r="M139" t="s">
        <v>85</v>
      </c>
      <c r="O139" t="s">
        <v>14</v>
      </c>
      <c r="P139" t="s">
        <v>444</v>
      </c>
      <c r="Q139" t="s">
        <v>445</v>
      </c>
      <c r="R139">
        <v>1991</v>
      </c>
      <c r="S139" t="s">
        <v>446</v>
      </c>
      <c r="U139" t="s">
        <v>447</v>
      </c>
      <c r="V139" t="s">
        <v>448</v>
      </c>
      <c r="W139" t="s">
        <v>91</v>
      </c>
      <c r="X139" t="s">
        <v>126</v>
      </c>
      <c r="Y139" t="s">
        <v>190</v>
      </c>
      <c r="Z139" t="s">
        <v>191</v>
      </c>
      <c r="AA139" t="s">
        <v>239</v>
      </c>
      <c r="AB139" t="s">
        <v>240</v>
      </c>
      <c r="AC139" t="s">
        <v>241</v>
      </c>
      <c r="AD139" t="s">
        <v>132</v>
      </c>
      <c r="AE139" t="s">
        <v>133</v>
      </c>
      <c r="AF139" t="s">
        <v>100</v>
      </c>
      <c r="AG139" t="s">
        <v>102</v>
      </c>
      <c r="AH139" t="s">
        <v>102</v>
      </c>
      <c r="AI139" t="s">
        <v>134</v>
      </c>
      <c r="AJ139" t="s">
        <v>135</v>
      </c>
      <c r="AM139" t="s">
        <v>136</v>
      </c>
      <c r="AN139" t="s">
        <v>242</v>
      </c>
      <c r="AT139">
        <v>102</v>
      </c>
      <c r="AU139">
        <v>11</v>
      </c>
      <c r="AW139" t="s">
        <v>108</v>
      </c>
      <c r="AZ139" t="s">
        <v>212</v>
      </c>
      <c r="BA139" t="s">
        <v>142</v>
      </c>
      <c r="BB139">
        <v>5</v>
      </c>
      <c r="BC139">
        <v>10</v>
      </c>
      <c r="BD139">
        <v>0.15</v>
      </c>
      <c r="BE139" t="s">
        <v>139</v>
      </c>
      <c r="BF139">
        <v>14</v>
      </c>
      <c r="BH139">
        <f t="shared" si="6"/>
        <v>1.6666666666666667</v>
      </c>
      <c r="BI139">
        <v>8</v>
      </c>
      <c r="BJ139">
        <v>3</v>
      </c>
      <c r="BK139">
        <v>1</v>
      </c>
      <c r="BR139" t="s">
        <v>449</v>
      </c>
      <c r="BT139" t="s">
        <v>461</v>
      </c>
      <c r="BU139" t="s">
        <v>470</v>
      </c>
      <c r="BV139">
        <v>28.492596299999999</v>
      </c>
      <c r="BW139">
        <v>1.0502459099999999</v>
      </c>
      <c r="BX139">
        <v>3</v>
      </c>
      <c r="BY139">
        <v>29.326340999999999</v>
      </c>
      <c r="BZ139">
        <v>1.47690831</v>
      </c>
      <c r="CA139">
        <v>3</v>
      </c>
      <c r="CB139" t="s">
        <v>113</v>
      </c>
      <c r="CC139" t="s">
        <v>451</v>
      </c>
    </row>
    <row r="140" spans="1:81" x14ac:dyDescent="0.25">
      <c r="A140" t="s">
        <v>81</v>
      </c>
      <c r="B140">
        <v>139</v>
      </c>
      <c r="C140">
        <v>32</v>
      </c>
      <c r="D140">
        <v>11</v>
      </c>
      <c r="E140">
        <v>29</v>
      </c>
      <c r="F140">
        <v>31</v>
      </c>
      <c r="G140">
        <v>71</v>
      </c>
      <c r="H140">
        <v>111</v>
      </c>
      <c r="I140" t="s">
        <v>442</v>
      </c>
      <c r="J140" t="s">
        <v>184</v>
      </c>
      <c r="L140" t="s">
        <v>460</v>
      </c>
      <c r="M140" t="s">
        <v>85</v>
      </c>
      <c r="O140" t="s">
        <v>14</v>
      </c>
      <c r="P140" t="s">
        <v>444</v>
      </c>
      <c r="Q140" t="s">
        <v>445</v>
      </c>
      <c r="R140">
        <v>1991</v>
      </c>
      <c r="S140" t="s">
        <v>446</v>
      </c>
      <c r="U140" t="s">
        <v>447</v>
      </c>
      <c r="V140" t="s">
        <v>448</v>
      </c>
      <c r="W140" t="s">
        <v>91</v>
      </c>
      <c r="X140" t="s">
        <v>126</v>
      </c>
      <c r="Y140" t="s">
        <v>190</v>
      </c>
      <c r="Z140" t="s">
        <v>191</v>
      </c>
      <c r="AA140" t="s">
        <v>239</v>
      </c>
      <c r="AB140" t="s">
        <v>240</v>
      </c>
      <c r="AC140" t="s">
        <v>241</v>
      </c>
      <c r="AD140" t="s">
        <v>132</v>
      </c>
      <c r="AE140" t="s">
        <v>133</v>
      </c>
      <c r="AF140" t="s">
        <v>100</v>
      </c>
      <c r="AG140" t="s">
        <v>102</v>
      </c>
      <c r="AH140" t="s">
        <v>102</v>
      </c>
      <c r="AI140" t="s">
        <v>134</v>
      </c>
      <c r="AJ140" t="s">
        <v>135</v>
      </c>
      <c r="AM140" t="s">
        <v>136</v>
      </c>
      <c r="AN140" t="s">
        <v>242</v>
      </c>
      <c r="AT140">
        <v>102</v>
      </c>
      <c r="AU140">
        <v>11</v>
      </c>
      <c r="AW140" t="s">
        <v>108</v>
      </c>
      <c r="AZ140" t="s">
        <v>212</v>
      </c>
      <c r="BA140" t="s">
        <v>142</v>
      </c>
      <c r="BB140">
        <v>10</v>
      </c>
      <c r="BC140">
        <v>15</v>
      </c>
      <c r="BD140">
        <v>0.15</v>
      </c>
      <c r="BE140" t="s">
        <v>139</v>
      </c>
      <c r="BF140">
        <v>14</v>
      </c>
      <c r="BH140">
        <f t="shared" si="6"/>
        <v>1.6666666666666667</v>
      </c>
      <c r="BI140">
        <v>8</v>
      </c>
      <c r="BJ140">
        <v>3</v>
      </c>
      <c r="BK140">
        <v>1</v>
      </c>
      <c r="BR140" t="s">
        <v>449</v>
      </c>
      <c r="BT140" t="s">
        <v>461</v>
      </c>
      <c r="BU140" t="s">
        <v>470</v>
      </c>
      <c r="BV140">
        <v>29.326340999999999</v>
      </c>
      <c r="BW140">
        <v>1.47690831</v>
      </c>
      <c r="BX140">
        <v>3</v>
      </c>
      <c r="BY140">
        <v>30.482214299999999</v>
      </c>
      <c r="BZ140">
        <v>1.4112679400000001</v>
      </c>
      <c r="CA140">
        <v>3</v>
      </c>
      <c r="CB140" t="s">
        <v>113</v>
      </c>
      <c r="CC140" t="s">
        <v>451</v>
      </c>
    </row>
    <row r="141" spans="1:81" x14ac:dyDescent="0.25">
      <c r="A141" t="s">
        <v>81</v>
      </c>
      <c r="B141">
        <v>140</v>
      </c>
      <c r="C141">
        <v>32</v>
      </c>
      <c r="D141">
        <v>11</v>
      </c>
      <c r="E141">
        <v>29</v>
      </c>
      <c r="F141">
        <v>31</v>
      </c>
      <c r="G141">
        <v>71</v>
      </c>
      <c r="H141">
        <v>112</v>
      </c>
      <c r="I141" t="s">
        <v>442</v>
      </c>
      <c r="J141" t="s">
        <v>184</v>
      </c>
      <c r="L141" t="s">
        <v>443</v>
      </c>
      <c r="M141" t="s">
        <v>85</v>
      </c>
      <c r="O141" t="s">
        <v>14</v>
      </c>
      <c r="P141" t="s">
        <v>444</v>
      </c>
      <c r="Q141" t="s">
        <v>445</v>
      </c>
      <c r="R141">
        <v>1991</v>
      </c>
      <c r="S141" t="s">
        <v>446</v>
      </c>
      <c r="U141" t="s">
        <v>447</v>
      </c>
      <c r="V141" t="s">
        <v>448</v>
      </c>
      <c r="W141" t="s">
        <v>91</v>
      </c>
      <c r="X141" t="s">
        <v>126</v>
      </c>
      <c r="Y141" t="s">
        <v>190</v>
      </c>
      <c r="Z141" t="s">
        <v>191</v>
      </c>
      <c r="AA141" t="s">
        <v>239</v>
      </c>
      <c r="AB141" t="s">
        <v>240</v>
      </c>
      <c r="AC141" t="s">
        <v>241</v>
      </c>
      <c r="AD141" t="s">
        <v>132</v>
      </c>
      <c r="AE141" t="s">
        <v>133</v>
      </c>
      <c r="AF141" t="s">
        <v>100</v>
      </c>
      <c r="AG141" t="s">
        <v>102</v>
      </c>
      <c r="AH141" t="s">
        <v>102</v>
      </c>
      <c r="AI141" t="s">
        <v>134</v>
      </c>
      <c r="AJ141" t="s">
        <v>135</v>
      </c>
      <c r="AM141" t="s">
        <v>136</v>
      </c>
      <c r="AN141" t="s">
        <v>242</v>
      </c>
      <c r="AT141">
        <v>102</v>
      </c>
      <c r="AU141">
        <v>11</v>
      </c>
      <c r="AW141" t="s">
        <v>108</v>
      </c>
      <c r="AZ141" t="s">
        <v>212</v>
      </c>
      <c r="BA141" t="s">
        <v>142</v>
      </c>
      <c r="BB141">
        <v>15</v>
      </c>
      <c r="BC141">
        <v>20</v>
      </c>
      <c r="BD141">
        <v>0.15</v>
      </c>
      <c r="BE141" t="s">
        <v>139</v>
      </c>
      <c r="BF141">
        <v>14</v>
      </c>
      <c r="BH141">
        <f t="shared" si="6"/>
        <v>1.6666666666666667</v>
      </c>
      <c r="BI141">
        <v>8</v>
      </c>
      <c r="BJ141">
        <v>3</v>
      </c>
      <c r="BK141">
        <v>1</v>
      </c>
      <c r="BR141" t="s">
        <v>449</v>
      </c>
      <c r="BT141" t="s">
        <v>461</v>
      </c>
      <c r="BU141" t="s">
        <v>470</v>
      </c>
      <c r="BV141">
        <v>30.482214299999999</v>
      </c>
      <c r="BW141">
        <v>1.4112679400000001</v>
      </c>
      <c r="BX141">
        <v>3</v>
      </c>
      <c r="BY141">
        <v>31.960216200000001</v>
      </c>
      <c r="BZ141">
        <v>1.87075053</v>
      </c>
      <c r="CA141">
        <v>3</v>
      </c>
      <c r="CB141" t="s">
        <v>113</v>
      </c>
      <c r="CC141" t="s">
        <v>451</v>
      </c>
    </row>
    <row r="142" spans="1:81" x14ac:dyDescent="0.25">
      <c r="A142" t="s">
        <v>81</v>
      </c>
      <c r="B142">
        <v>141</v>
      </c>
      <c r="C142">
        <v>32</v>
      </c>
      <c r="D142">
        <v>11</v>
      </c>
      <c r="E142">
        <v>29</v>
      </c>
      <c r="F142">
        <v>31</v>
      </c>
      <c r="G142">
        <v>71</v>
      </c>
      <c r="H142">
        <v>113</v>
      </c>
      <c r="I142" t="s">
        <v>442</v>
      </c>
      <c r="J142" t="s">
        <v>184</v>
      </c>
      <c r="L142" t="s">
        <v>460</v>
      </c>
      <c r="M142" t="s">
        <v>85</v>
      </c>
      <c r="O142" t="s">
        <v>14</v>
      </c>
      <c r="P142" t="s">
        <v>444</v>
      </c>
      <c r="Q142" t="s">
        <v>445</v>
      </c>
      <c r="R142">
        <v>1991</v>
      </c>
      <c r="S142" t="s">
        <v>446</v>
      </c>
      <c r="U142" t="s">
        <v>447</v>
      </c>
      <c r="V142" t="s">
        <v>448</v>
      </c>
      <c r="W142" t="s">
        <v>91</v>
      </c>
      <c r="X142" t="s">
        <v>126</v>
      </c>
      <c r="Y142" t="s">
        <v>190</v>
      </c>
      <c r="Z142" t="s">
        <v>191</v>
      </c>
      <c r="AA142" t="s">
        <v>239</v>
      </c>
      <c r="AB142" t="s">
        <v>240</v>
      </c>
      <c r="AC142" t="s">
        <v>241</v>
      </c>
      <c r="AD142" t="s">
        <v>132</v>
      </c>
      <c r="AE142" t="s">
        <v>133</v>
      </c>
      <c r="AF142" t="s">
        <v>100</v>
      </c>
      <c r="AG142" t="s">
        <v>102</v>
      </c>
      <c r="AH142" t="s">
        <v>102</v>
      </c>
      <c r="AI142" t="s">
        <v>134</v>
      </c>
      <c r="AJ142" t="s">
        <v>135</v>
      </c>
      <c r="AM142" t="s">
        <v>136</v>
      </c>
      <c r="AN142" t="s">
        <v>242</v>
      </c>
      <c r="AT142">
        <v>102</v>
      </c>
      <c r="AU142">
        <v>11</v>
      </c>
      <c r="AW142" t="s">
        <v>108</v>
      </c>
      <c r="AZ142" t="s">
        <v>212</v>
      </c>
      <c r="BA142" t="s">
        <v>142</v>
      </c>
      <c r="BB142">
        <v>20</v>
      </c>
      <c r="BC142">
        <v>25</v>
      </c>
      <c r="BD142">
        <v>0.15</v>
      </c>
      <c r="BE142" t="s">
        <v>139</v>
      </c>
      <c r="BF142">
        <v>14</v>
      </c>
      <c r="BH142">
        <f t="shared" si="6"/>
        <v>1.6666666666666667</v>
      </c>
      <c r="BI142">
        <v>8</v>
      </c>
      <c r="BJ142">
        <v>3</v>
      </c>
      <c r="BK142">
        <v>1</v>
      </c>
      <c r="BR142" t="s">
        <v>449</v>
      </c>
      <c r="BT142" t="s">
        <v>461</v>
      </c>
      <c r="BU142" t="s">
        <v>470</v>
      </c>
      <c r="BV142">
        <v>31.960216200000001</v>
      </c>
      <c r="BW142">
        <v>1.87075053</v>
      </c>
      <c r="BX142">
        <v>3</v>
      </c>
      <c r="BY142">
        <v>30.652753000000001</v>
      </c>
      <c r="BZ142">
        <v>1.5097285</v>
      </c>
      <c r="CA142">
        <v>3</v>
      </c>
      <c r="CB142" t="s">
        <v>113</v>
      </c>
      <c r="CC142" t="s">
        <v>451</v>
      </c>
    </row>
    <row r="143" spans="1:81" x14ac:dyDescent="0.25">
      <c r="A143" t="s">
        <v>81</v>
      </c>
      <c r="B143">
        <v>142</v>
      </c>
      <c r="C143">
        <v>32</v>
      </c>
      <c r="D143">
        <v>11</v>
      </c>
      <c r="E143">
        <v>29</v>
      </c>
      <c r="F143">
        <v>31</v>
      </c>
      <c r="G143">
        <v>71</v>
      </c>
      <c r="H143">
        <v>114</v>
      </c>
      <c r="I143" t="s">
        <v>442</v>
      </c>
      <c r="J143" t="s">
        <v>184</v>
      </c>
      <c r="L143" t="s">
        <v>443</v>
      </c>
      <c r="M143" t="s">
        <v>85</v>
      </c>
      <c r="O143" t="s">
        <v>14</v>
      </c>
      <c r="P143" t="s">
        <v>444</v>
      </c>
      <c r="Q143" t="s">
        <v>445</v>
      </c>
      <c r="R143">
        <v>1991</v>
      </c>
      <c r="S143" t="s">
        <v>446</v>
      </c>
      <c r="U143" t="s">
        <v>447</v>
      </c>
      <c r="V143" t="s">
        <v>448</v>
      </c>
      <c r="W143" t="s">
        <v>91</v>
      </c>
      <c r="X143" t="s">
        <v>126</v>
      </c>
      <c r="Y143" t="s">
        <v>190</v>
      </c>
      <c r="Z143" t="s">
        <v>191</v>
      </c>
      <c r="AA143" t="s">
        <v>239</v>
      </c>
      <c r="AB143" t="s">
        <v>240</v>
      </c>
      <c r="AC143" t="s">
        <v>241</v>
      </c>
      <c r="AD143" t="s">
        <v>132</v>
      </c>
      <c r="AE143" t="s">
        <v>133</v>
      </c>
      <c r="AF143" t="s">
        <v>100</v>
      </c>
      <c r="AG143" t="s">
        <v>102</v>
      </c>
      <c r="AH143" t="s">
        <v>102</v>
      </c>
      <c r="AI143" t="s">
        <v>134</v>
      </c>
      <c r="AJ143" t="s">
        <v>135</v>
      </c>
      <c r="AM143" t="s">
        <v>136</v>
      </c>
      <c r="AN143" t="s">
        <v>242</v>
      </c>
      <c r="AT143">
        <v>102</v>
      </c>
      <c r="AU143">
        <v>11</v>
      </c>
      <c r="AW143" t="s">
        <v>108</v>
      </c>
      <c r="AZ143" t="s">
        <v>212</v>
      </c>
      <c r="BA143" t="s">
        <v>142</v>
      </c>
      <c r="BB143">
        <v>25</v>
      </c>
      <c r="BC143">
        <v>27</v>
      </c>
      <c r="BD143">
        <v>0.15</v>
      </c>
      <c r="BE143" t="s">
        <v>139</v>
      </c>
      <c r="BF143">
        <v>14</v>
      </c>
      <c r="BH143">
        <f t="shared" si="6"/>
        <v>1.6666666666666667</v>
      </c>
      <c r="BI143">
        <v>8</v>
      </c>
      <c r="BJ143">
        <v>3</v>
      </c>
      <c r="BK143">
        <v>1</v>
      </c>
      <c r="BR143" t="s">
        <v>449</v>
      </c>
      <c r="BT143" t="s">
        <v>461</v>
      </c>
      <c r="BU143" t="s">
        <v>470</v>
      </c>
      <c r="BV143">
        <v>30.652753000000001</v>
      </c>
      <c r="BW143">
        <v>1.5097285</v>
      </c>
      <c r="BX143">
        <v>3</v>
      </c>
      <c r="BY143">
        <v>31.145420300000001</v>
      </c>
      <c r="BZ143">
        <v>1.4440881299999999</v>
      </c>
      <c r="CA143">
        <v>3</v>
      </c>
      <c r="CB143" t="s">
        <v>113</v>
      </c>
      <c r="CC143" t="s">
        <v>451</v>
      </c>
    </row>
    <row r="144" spans="1:81" x14ac:dyDescent="0.25">
      <c r="A144" t="s">
        <v>81</v>
      </c>
      <c r="B144">
        <v>143</v>
      </c>
      <c r="C144">
        <v>32</v>
      </c>
      <c r="D144">
        <v>11</v>
      </c>
      <c r="E144">
        <v>28</v>
      </c>
      <c r="F144">
        <v>30</v>
      </c>
      <c r="G144">
        <v>72</v>
      </c>
      <c r="H144">
        <v>95</v>
      </c>
      <c r="I144" t="s">
        <v>442</v>
      </c>
      <c r="J144" t="s">
        <v>184</v>
      </c>
      <c r="L144" t="s">
        <v>471</v>
      </c>
      <c r="M144" t="s">
        <v>85</v>
      </c>
      <c r="O144" t="s">
        <v>14</v>
      </c>
      <c r="P144" t="s">
        <v>444</v>
      </c>
      <c r="Q144" t="s">
        <v>445</v>
      </c>
      <c r="R144">
        <v>1991</v>
      </c>
      <c r="S144" t="s">
        <v>446</v>
      </c>
      <c r="U144" t="s">
        <v>447</v>
      </c>
      <c r="V144" t="s">
        <v>448</v>
      </c>
      <c r="W144" t="s">
        <v>91</v>
      </c>
      <c r="X144" t="s">
        <v>126</v>
      </c>
      <c r="Y144" t="s">
        <v>190</v>
      </c>
      <c r="Z144" t="s">
        <v>191</v>
      </c>
      <c r="AA144" t="s">
        <v>239</v>
      </c>
      <c r="AB144" t="s">
        <v>240</v>
      </c>
      <c r="AC144" t="s">
        <v>241</v>
      </c>
      <c r="AD144" t="s">
        <v>132</v>
      </c>
      <c r="AE144" t="s">
        <v>133</v>
      </c>
      <c r="AF144" t="s">
        <v>100</v>
      </c>
      <c r="AG144" t="s">
        <v>102</v>
      </c>
      <c r="AH144" t="s">
        <v>102</v>
      </c>
      <c r="AI144" t="s">
        <v>134</v>
      </c>
      <c r="AJ144" t="s">
        <v>135</v>
      </c>
      <c r="AM144" t="s">
        <v>136</v>
      </c>
      <c r="AN144" t="s">
        <v>242</v>
      </c>
      <c r="AT144">
        <v>50</v>
      </c>
      <c r="AU144">
        <v>1.5</v>
      </c>
      <c r="AW144" t="s">
        <v>108</v>
      </c>
      <c r="AZ144" t="s">
        <v>212</v>
      </c>
      <c r="BA144" t="s">
        <v>142</v>
      </c>
      <c r="BB144">
        <v>5</v>
      </c>
      <c r="BC144">
        <v>10</v>
      </c>
      <c r="BD144">
        <v>0.15</v>
      </c>
      <c r="BE144" t="s">
        <v>139</v>
      </c>
      <c r="BF144">
        <v>14</v>
      </c>
      <c r="BH144">
        <f t="shared" ref="BH144:BH163" si="7">1000/60</f>
        <v>16.666666666666668</v>
      </c>
      <c r="BI144">
        <v>8</v>
      </c>
      <c r="BJ144">
        <v>5</v>
      </c>
      <c r="BK144">
        <v>1</v>
      </c>
      <c r="BR144" t="s">
        <v>449</v>
      </c>
      <c r="BT144" t="s">
        <v>461</v>
      </c>
      <c r="BU144" t="s">
        <v>472</v>
      </c>
      <c r="BV144">
        <v>26.796208499999999</v>
      </c>
      <c r="BW144">
        <v>1.1869175999999999</v>
      </c>
      <c r="BX144">
        <v>5</v>
      </c>
      <c r="BY144">
        <v>27.251184800000001</v>
      </c>
      <c r="BZ144">
        <v>1.3564772599999999</v>
      </c>
      <c r="CA144">
        <v>5</v>
      </c>
      <c r="CB144" t="s">
        <v>113</v>
      </c>
      <c r="CC144" t="s">
        <v>451</v>
      </c>
    </row>
    <row r="145" spans="1:81" x14ac:dyDescent="0.25">
      <c r="A145" t="s">
        <v>81</v>
      </c>
      <c r="B145">
        <v>144</v>
      </c>
      <c r="C145">
        <v>32</v>
      </c>
      <c r="D145">
        <v>11</v>
      </c>
      <c r="E145">
        <v>28</v>
      </c>
      <c r="F145">
        <v>30</v>
      </c>
      <c r="G145">
        <v>72</v>
      </c>
      <c r="H145">
        <v>96</v>
      </c>
      <c r="I145" t="s">
        <v>442</v>
      </c>
      <c r="J145" t="s">
        <v>184</v>
      </c>
      <c r="L145" t="s">
        <v>471</v>
      </c>
      <c r="M145" t="s">
        <v>85</v>
      </c>
      <c r="O145" t="s">
        <v>14</v>
      </c>
      <c r="P145" t="s">
        <v>444</v>
      </c>
      <c r="Q145" t="s">
        <v>445</v>
      </c>
      <c r="R145">
        <v>1991</v>
      </c>
      <c r="S145" t="s">
        <v>446</v>
      </c>
      <c r="U145" t="s">
        <v>447</v>
      </c>
      <c r="V145" t="s">
        <v>448</v>
      </c>
      <c r="W145" t="s">
        <v>91</v>
      </c>
      <c r="X145" t="s">
        <v>126</v>
      </c>
      <c r="Y145" t="s">
        <v>190</v>
      </c>
      <c r="Z145" t="s">
        <v>191</v>
      </c>
      <c r="AA145" t="s">
        <v>239</v>
      </c>
      <c r="AB145" t="s">
        <v>240</v>
      </c>
      <c r="AC145" t="s">
        <v>241</v>
      </c>
      <c r="AD145" t="s">
        <v>132</v>
      </c>
      <c r="AE145" t="s">
        <v>133</v>
      </c>
      <c r="AF145" t="s">
        <v>100</v>
      </c>
      <c r="AG145" t="s">
        <v>102</v>
      </c>
      <c r="AH145" t="s">
        <v>102</v>
      </c>
      <c r="AI145" t="s">
        <v>134</v>
      </c>
      <c r="AJ145" t="s">
        <v>135</v>
      </c>
      <c r="AM145" t="s">
        <v>136</v>
      </c>
      <c r="AN145" t="s">
        <v>242</v>
      </c>
      <c r="AT145">
        <v>50</v>
      </c>
      <c r="AU145">
        <v>1.5</v>
      </c>
      <c r="AW145" t="s">
        <v>108</v>
      </c>
      <c r="AZ145" t="s">
        <v>212</v>
      </c>
      <c r="BA145" t="s">
        <v>142</v>
      </c>
      <c r="BB145">
        <v>10</v>
      </c>
      <c r="BC145">
        <v>15</v>
      </c>
      <c r="BD145">
        <v>0.15</v>
      </c>
      <c r="BE145" t="s">
        <v>139</v>
      </c>
      <c r="BF145">
        <v>14</v>
      </c>
      <c r="BH145">
        <f t="shared" si="7"/>
        <v>16.666666666666668</v>
      </c>
      <c r="BI145">
        <v>8</v>
      </c>
      <c r="BJ145">
        <v>5</v>
      </c>
      <c r="BK145">
        <v>1</v>
      </c>
      <c r="BR145" t="s">
        <v>449</v>
      </c>
      <c r="BT145" t="s">
        <v>461</v>
      </c>
      <c r="BU145" t="s">
        <v>472</v>
      </c>
      <c r="BV145">
        <v>27.251184800000001</v>
      </c>
      <c r="BW145">
        <v>1.3564772599999999</v>
      </c>
      <c r="BX145">
        <v>5</v>
      </c>
      <c r="BY145">
        <v>28.710900500000001</v>
      </c>
      <c r="BZ145">
        <v>1.2293075099999999</v>
      </c>
      <c r="CA145">
        <v>5</v>
      </c>
      <c r="CB145" t="s">
        <v>113</v>
      </c>
      <c r="CC145" t="s">
        <v>451</v>
      </c>
    </row>
    <row r="146" spans="1:81" x14ac:dyDescent="0.25">
      <c r="A146" t="s">
        <v>81</v>
      </c>
      <c r="B146">
        <v>145</v>
      </c>
      <c r="C146">
        <v>32</v>
      </c>
      <c r="D146">
        <v>11</v>
      </c>
      <c r="E146">
        <v>28</v>
      </c>
      <c r="F146">
        <v>30</v>
      </c>
      <c r="G146">
        <v>72</v>
      </c>
      <c r="H146">
        <v>97</v>
      </c>
      <c r="I146" t="s">
        <v>442</v>
      </c>
      <c r="J146" t="s">
        <v>184</v>
      </c>
      <c r="L146" t="s">
        <v>471</v>
      </c>
      <c r="M146" t="s">
        <v>85</v>
      </c>
      <c r="O146" t="s">
        <v>14</v>
      </c>
      <c r="P146" t="s">
        <v>444</v>
      </c>
      <c r="Q146" t="s">
        <v>445</v>
      </c>
      <c r="R146">
        <v>1991</v>
      </c>
      <c r="S146" t="s">
        <v>446</v>
      </c>
      <c r="U146" t="s">
        <v>447</v>
      </c>
      <c r="V146" t="s">
        <v>448</v>
      </c>
      <c r="W146" t="s">
        <v>91</v>
      </c>
      <c r="X146" t="s">
        <v>126</v>
      </c>
      <c r="Y146" t="s">
        <v>190</v>
      </c>
      <c r="Z146" t="s">
        <v>191</v>
      </c>
      <c r="AA146" t="s">
        <v>239</v>
      </c>
      <c r="AB146" t="s">
        <v>240</v>
      </c>
      <c r="AC146" t="s">
        <v>241</v>
      </c>
      <c r="AD146" t="s">
        <v>132</v>
      </c>
      <c r="AE146" t="s">
        <v>133</v>
      </c>
      <c r="AF146" t="s">
        <v>100</v>
      </c>
      <c r="AG146" t="s">
        <v>102</v>
      </c>
      <c r="AH146" t="s">
        <v>102</v>
      </c>
      <c r="AI146" t="s">
        <v>134</v>
      </c>
      <c r="AJ146" t="s">
        <v>135</v>
      </c>
      <c r="AM146" t="s">
        <v>136</v>
      </c>
      <c r="AN146" t="s">
        <v>242</v>
      </c>
      <c r="AT146">
        <v>50</v>
      </c>
      <c r="AU146">
        <v>1.5</v>
      </c>
      <c r="AW146" t="s">
        <v>108</v>
      </c>
      <c r="AZ146" t="s">
        <v>212</v>
      </c>
      <c r="BA146" t="s">
        <v>142</v>
      </c>
      <c r="BB146">
        <v>15</v>
      </c>
      <c r="BC146">
        <v>20</v>
      </c>
      <c r="BD146">
        <v>0.15</v>
      </c>
      <c r="BE146" t="s">
        <v>139</v>
      </c>
      <c r="BF146">
        <v>14</v>
      </c>
      <c r="BH146">
        <f t="shared" si="7"/>
        <v>16.666666666666668</v>
      </c>
      <c r="BI146">
        <v>8</v>
      </c>
      <c r="BJ146">
        <v>5</v>
      </c>
      <c r="BK146">
        <v>1</v>
      </c>
      <c r="BR146" t="s">
        <v>449</v>
      </c>
      <c r="BT146" t="s">
        <v>461</v>
      </c>
      <c r="BU146" t="s">
        <v>472</v>
      </c>
      <c r="BV146">
        <v>28.710900500000001</v>
      </c>
      <c r="BW146">
        <v>1.2293075099999999</v>
      </c>
      <c r="BX146">
        <v>5</v>
      </c>
      <c r="BY146">
        <v>29.563980999999998</v>
      </c>
      <c r="BZ146">
        <v>1.3140873399999999</v>
      </c>
      <c r="CA146">
        <v>5</v>
      </c>
      <c r="CB146" t="s">
        <v>113</v>
      </c>
      <c r="CC146" t="s">
        <v>451</v>
      </c>
    </row>
    <row r="147" spans="1:81" x14ac:dyDescent="0.25">
      <c r="A147" t="s">
        <v>81</v>
      </c>
      <c r="B147">
        <v>146</v>
      </c>
      <c r="C147">
        <v>32</v>
      </c>
      <c r="D147">
        <v>11</v>
      </c>
      <c r="E147">
        <v>28</v>
      </c>
      <c r="F147">
        <v>30</v>
      </c>
      <c r="G147">
        <v>72</v>
      </c>
      <c r="H147">
        <v>98</v>
      </c>
      <c r="I147" t="s">
        <v>442</v>
      </c>
      <c r="J147" t="s">
        <v>184</v>
      </c>
      <c r="L147" t="s">
        <v>471</v>
      </c>
      <c r="M147" t="s">
        <v>85</v>
      </c>
      <c r="O147" t="s">
        <v>14</v>
      </c>
      <c r="P147" t="s">
        <v>444</v>
      </c>
      <c r="Q147" t="s">
        <v>445</v>
      </c>
      <c r="R147">
        <v>1991</v>
      </c>
      <c r="S147" t="s">
        <v>446</v>
      </c>
      <c r="U147" t="s">
        <v>447</v>
      </c>
      <c r="V147" t="s">
        <v>448</v>
      </c>
      <c r="W147" t="s">
        <v>91</v>
      </c>
      <c r="X147" t="s">
        <v>126</v>
      </c>
      <c r="Y147" t="s">
        <v>190</v>
      </c>
      <c r="Z147" t="s">
        <v>191</v>
      </c>
      <c r="AA147" t="s">
        <v>239</v>
      </c>
      <c r="AB147" t="s">
        <v>240</v>
      </c>
      <c r="AC147" t="s">
        <v>241</v>
      </c>
      <c r="AD147" t="s">
        <v>132</v>
      </c>
      <c r="AE147" t="s">
        <v>133</v>
      </c>
      <c r="AF147" t="s">
        <v>100</v>
      </c>
      <c r="AG147" t="s">
        <v>102</v>
      </c>
      <c r="AH147" t="s">
        <v>102</v>
      </c>
      <c r="AI147" t="s">
        <v>134</v>
      </c>
      <c r="AJ147" t="s">
        <v>135</v>
      </c>
      <c r="AM147" t="s">
        <v>136</v>
      </c>
      <c r="AN147" t="s">
        <v>242</v>
      </c>
      <c r="AT147">
        <v>50</v>
      </c>
      <c r="AU147">
        <v>1.5</v>
      </c>
      <c r="AW147" t="s">
        <v>108</v>
      </c>
      <c r="AZ147" t="s">
        <v>212</v>
      </c>
      <c r="BA147" t="s">
        <v>142</v>
      </c>
      <c r="BB147">
        <v>20</v>
      </c>
      <c r="BC147">
        <v>25</v>
      </c>
      <c r="BD147">
        <v>0.15</v>
      </c>
      <c r="BE147" t="s">
        <v>139</v>
      </c>
      <c r="BF147">
        <v>14</v>
      </c>
      <c r="BH147">
        <f t="shared" si="7"/>
        <v>16.666666666666668</v>
      </c>
      <c r="BI147">
        <v>8</v>
      </c>
      <c r="BJ147">
        <v>5</v>
      </c>
      <c r="BK147">
        <v>1</v>
      </c>
      <c r="BR147" t="s">
        <v>449</v>
      </c>
      <c r="BT147" t="s">
        <v>461</v>
      </c>
      <c r="BU147" t="s">
        <v>472</v>
      </c>
      <c r="BV147">
        <v>29.563980999999998</v>
      </c>
      <c r="BW147">
        <v>1.3140873399999999</v>
      </c>
      <c r="BX147">
        <v>5</v>
      </c>
      <c r="BY147">
        <v>29.241706199999999</v>
      </c>
      <c r="BZ147">
        <v>2.0347158799999998</v>
      </c>
      <c r="CA147">
        <v>5</v>
      </c>
      <c r="CB147" t="s">
        <v>113</v>
      </c>
      <c r="CC147" t="s">
        <v>451</v>
      </c>
    </row>
    <row r="148" spans="1:81" x14ac:dyDescent="0.25">
      <c r="A148" t="s">
        <v>81</v>
      </c>
      <c r="B148">
        <v>147</v>
      </c>
      <c r="C148">
        <v>32</v>
      </c>
      <c r="D148">
        <v>11</v>
      </c>
      <c r="E148">
        <v>28</v>
      </c>
      <c r="F148">
        <v>30</v>
      </c>
      <c r="G148">
        <v>72</v>
      </c>
      <c r="H148">
        <v>99</v>
      </c>
      <c r="I148" t="s">
        <v>442</v>
      </c>
      <c r="J148" t="s">
        <v>184</v>
      </c>
      <c r="L148" t="s">
        <v>471</v>
      </c>
      <c r="M148" t="s">
        <v>85</v>
      </c>
      <c r="O148" t="s">
        <v>14</v>
      </c>
      <c r="P148" t="s">
        <v>444</v>
      </c>
      <c r="Q148" t="s">
        <v>445</v>
      </c>
      <c r="R148">
        <v>1991</v>
      </c>
      <c r="S148" t="s">
        <v>446</v>
      </c>
      <c r="U148" t="s">
        <v>447</v>
      </c>
      <c r="V148" t="s">
        <v>448</v>
      </c>
      <c r="W148" t="s">
        <v>91</v>
      </c>
      <c r="X148" t="s">
        <v>126</v>
      </c>
      <c r="Y148" t="s">
        <v>190</v>
      </c>
      <c r="Z148" t="s">
        <v>191</v>
      </c>
      <c r="AA148" t="s">
        <v>239</v>
      </c>
      <c r="AB148" t="s">
        <v>240</v>
      </c>
      <c r="AC148" t="s">
        <v>241</v>
      </c>
      <c r="AD148" t="s">
        <v>132</v>
      </c>
      <c r="AE148" t="s">
        <v>133</v>
      </c>
      <c r="AF148" t="s">
        <v>100</v>
      </c>
      <c r="AG148" t="s">
        <v>102</v>
      </c>
      <c r="AH148" t="s">
        <v>102</v>
      </c>
      <c r="AI148" t="s">
        <v>134</v>
      </c>
      <c r="AJ148" t="s">
        <v>135</v>
      </c>
      <c r="AM148" t="s">
        <v>136</v>
      </c>
      <c r="AN148" t="s">
        <v>242</v>
      </c>
      <c r="AT148">
        <v>50</v>
      </c>
      <c r="AU148">
        <v>1.5</v>
      </c>
      <c r="AW148" t="s">
        <v>108</v>
      </c>
      <c r="AZ148" t="s">
        <v>212</v>
      </c>
      <c r="BA148" t="s">
        <v>142</v>
      </c>
      <c r="BB148">
        <v>25</v>
      </c>
      <c r="BC148">
        <v>27</v>
      </c>
      <c r="BD148">
        <v>0.15</v>
      </c>
      <c r="BE148" t="s">
        <v>139</v>
      </c>
      <c r="BF148">
        <v>14</v>
      </c>
      <c r="BH148">
        <f t="shared" si="7"/>
        <v>16.666666666666668</v>
      </c>
      <c r="BI148">
        <v>8</v>
      </c>
      <c r="BJ148">
        <v>5</v>
      </c>
      <c r="BK148">
        <v>1</v>
      </c>
      <c r="BR148" t="s">
        <v>449</v>
      </c>
      <c r="BT148" t="s">
        <v>461</v>
      </c>
      <c r="BU148" t="s">
        <v>472</v>
      </c>
      <c r="BV148">
        <v>29.241706199999999</v>
      </c>
      <c r="BW148">
        <v>2.0347158799999998</v>
      </c>
      <c r="BX148">
        <v>5</v>
      </c>
      <c r="BY148">
        <v>29.5829384</v>
      </c>
      <c r="BZ148">
        <v>2.16188563</v>
      </c>
      <c r="CA148">
        <v>5</v>
      </c>
      <c r="CB148" t="s">
        <v>113</v>
      </c>
      <c r="CC148" t="s">
        <v>451</v>
      </c>
    </row>
    <row r="149" spans="1:81" x14ac:dyDescent="0.25">
      <c r="A149" t="s">
        <v>81</v>
      </c>
      <c r="B149">
        <v>148</v>
      </c>
      <c r="C149">
        <v>32</v>
      </c>
      <c r="D149">
        <v>11</v>
      </c>
      <c r="E149">
        <v>28</v>
      </c>
      <c r="F149">
        <v>30</v>
      </c>
      <c r="G149">
        <v>73</v>
      </c>
      <c r="H149">
        <v>100</v>
      </c>
      <c r="I149" t="s">
        <v>442</v>
      </c>
      <c r="J149" t="s">
        <v>184</v>
      </c>
      <c r="L149" t="s">
        <v>471</v>
      </c>
      <c r="M149" t="s">
        <v>85</v>
      </c>
      <c r="O149" t="s">
        <v>14</v>
      </c>
      <c r="P149" t="s">
        <v>444</v>
      </c>
      <c r="Q149" t="s">
        <v>445</v>
      </c>
      <c r="R149">
        <v>1991</v>
      </c>
      <c r="S149" t="s">
        <v>446</v>
      </c>
      <c r="U149" t="s">
        <v>447</v>
      </c>
      <c r="V149" t="s">
        <v>448</v>
      </c>
      <c r="W149" t="s">
        <v>91</v>
      </c>
      <c r="X149" t="s">
        <v>126</v>
      </c>
      <c r="Y149" t="s">
        <v>190</v>
      </c>
      <c r="Z149" t="s">
        <v>191</v>
      </c>
      <c r="AA149" t="s">
        <v>239</v>
      </c>
      <c r="AB149" t="s">
        <v>240</v>
      </c>
      <c r="AC149" t="s">
        <v>241</v>
      </c>
      <c r="AD149" t="s">
        <v>132</v>
      </c>
      <c r="AE149" t="s">
        <v>133</v>
      </c>
      <c r="AF149" t="s">
        <v>100</v>
      </c>
      <c r="AG149" t="s">
        <v>102</v>
      </c>
      <c r="AH149" t="s">
        <v>102</v>
      </c>
      <c r="AI149" t="s">
        <v>134</v>
      </c>
      <c r="AJ149" t="s">
        <v>135</v>
      </c>
      <c r="AM149" t="s">
        <v>136</v>
      </c>
      <c r="AN149" t="s">
        <v>242</v>
      </c>
      <c r="AT149">
        <v>100</v>
      </c>
      <c r="AU149">
        <v>11</v>
      </c>
      <c r="AW149" t="s">
        <v>108</v>
      </c>
      <c r="AZ149" t="s">
        <v>212</v>
      </c>
      <c r="BA149" t="s">
        <v>142</v>
      </c>
      <c r="BB149">
        <v>5</v>
      </c>
      <c r="BC149">
        <v>10</v>
      </c>
      <c r="BD149">
        <v>0.15</v>
      </c>
      <c r="BE149" t="s">
        <v>139</v>
      </c>
      <c r="BF149">
        <v>14</v>
      </c>
      <c r="BH149">
        <f t="shared" si="7"/>
        <v>16.666666666666668</v>
      </c>
      <c r="BI149">
        <v>8</v>
      </c>
      <c r="BJ149">
        <v>5</v>
      </c>
      <c r="BK149">
        <v>1</v>
      </c>
      <c r="BR149" t="s">
        <v>449</v>
      </c>
      <c r="BT149" t="s">
        <v>461</v>
      </c>
      <c r="BU149" t="s">
        <v>473</v>
      </c>
      <c r="BV149">
        <v>26.436019000000002</v>
      </c>
      <c r="BW149">
        <v>0.80540836999999998</v>
      </c>
      <c r="BX149">
        <v>5</v>
      </c>
      <c r="BY149">
        <v>28.142180100000001</v>
      </c>
      <c r="BZ149">
        <v>1.7803764</v>
      </c>
      <c r="CA149">
        <v>5</v>
      </c>
      <c r="CB149" t="s">
        <v>113</v>
      </c>
      <c r="CC149" t="s">
        <v>451</v>
      </c>
    </row>
    <row r="150" spans="1:81" x14ac:dyDescent="0.25">
      <c r="A150" t="s">
        <v>81</v>
      </c>
      <c r="B150">
        <v>149</v>
      </c>
      <c r="C150">
        <v>32</v>
      </c>
      <c r="D150">
        <v>11</v>
      </c>
      <c r="E150">
        <v>28</v>
      </c>
      <c r="F150">
        <v>30</v>
      </c>
      <c r="G150">
        <v>73</v>
      </c>
      <c r="H150">
        <v>101</v>
      </c>
      <c r="I150" t="s">
        <v>442</v>
      </c>
      <c r="J150" t="s">
        <v>184</v>
      </c>
      <c r="L150" t="s">
        <v>471</v>
      </c>
      <c r="M150" t="s">
        <v>85</v>
      </c>
      <c r="O150" t="s">
        <v>14</v>
      </c>
      <c r="P150" t="s">
        <v>444</v>
      </c>
      <c r="Q150" t="s">
        <v>445</v>
      </c>
      <c r="R150">
        <v>1991</v>
      </c>
      <c r="S150" t="s">
        <v>446</v>
      </c>
      <c r="U150" t="s">
        <v>447</v>
      </c>
      <c r="V150" t="s">
        <v>448</v>
      </c>
      <c r="W150" t="s">
        <v>91</v>
      </c>
      <c r="X150" t="s">
        <v>126</v>
      </c>
      <c r="Y150" t="s">
        <v>190</v>
      </c>
      <c r="Z150" t="s">
        <v>191</v>
      </c>
      <c r="AA150" t="s">
        <v>239</v>
      </c>
      <c r="AB150" t="s">
        <v>240</v>
      </c>
      <c r="AC150" t="s">
        <v>241</v>
      </c>
      <c r="AD150" t="s">
        <v>132</v>
      </c>
      <c r="AE150" t="s">
        <v>133</v>
      </c>
      <c r="AF150" t="s">
        <v>100</v>
      </c>
      <c r="AG150" t="s">
        <v>102</v>
      </c>
      <c r="AH150" t="s">
        <v>102</v>
      </c>
      <c r="AI150" t="s">
        <v>134</v>
      </c>
      <c r="AJ150" t="s">
        <v>135</v>
      </c>
      <c r="AM150" t="s">
        <v>136</v>
      </c>
      <c r="AN150" t="s">
        <v>242</v>
      </c>
      <c r="AT150">
        <v>100</v>
      </c>
      <c r="AU150">
        <v>11</v>
      </c>
      <c r="AW150" t="s">
        <v>108</v>
      </c>
      <c r="AZ150" t="s">
        <v>212</v>
      </c>
      <c r="BA150" t="s">
        <v>142</v>
      </c>
      <c r="BB150">
        <v>10</v>
      </c>
      <c r="BC150">
        <v>15</v>
      </c>
      <c r="BD150">
        <v>0.15</v>
      </c>
      <c r="BE150" t="s">
        <v>139</v>
      </c>
      <c r="BF150">
        <v>14</v>
      </c>
      <c r="BH150">
        <f t="shared" si="7"/>
        <v>16.666666666666668</v>
      </c>
      <c r="BI150">
        <v>8</v>
      </c>
      <c r="BJ150">
        <v>5</v>
      </c>
      <c r="BK150">
        <v>1</v>
      </c>
      <c r="BR150" t="s">
        <v>449</v>
      </c>
      <c r="BT150" t="s">
        <v>461</v>
      </c>
      <c r="BU150" t="s">
        <v>473</v>
      </c>
      <c r="BV150">
        <v>28.142180100000001</v>
      </c>
      <c r="BW150">
        <v>1.7803764</v>
      </c>
      <c r="BX150">
        <v>5</v>
      </c>
      <c r="BY150">
        <v>28.407582900000001</v>
      </c>
      <c r="BZ150">
        <v>1.69559657</v>
      </c>
      <c r="CA150">
        <v>5</v>
      </c>
      <c r="CB150" t="s">
        <v>113</v>
      </c>
      <c r="CC150" t="s">
        <v>451</v>
      </c>
    </row>
    <row r="151" spans="1:81" x14ac:dyDescent="0.25">
      <c r="A151" t="s">
        <v>81</v>
      </c>
      <c r="B151">
        <v>150</v>
      </c>
      <c r="C151">
        <v>32</v>
      </c>
      <c r="D151">
        <v>11</v>
      </c>
      <c r="E151">
        <v>28</v>
      </c>
      <c r="F151">
        <v>30</v>
      </c>
      <c r="G151">
        <v>73</v>
      </c>
      <c r="H151">
        <v>102</v>
      </c>
      <c r="I151" t="s">
        <v>442</v>
      </c>
      <c r="J151" t="s">
        <v>184</v>
      </c>
      <c r="L151" t="s">
        <v>471</v>
      </c>
      <c r="M151" t="s">
        <v>85</v>
      </c>
      <c r="O151" t="s">
        <v>14</v>
      </c>
      <c r="P151" t="s">
        <v>444</v>
      </c>
      <c r="Q151" t="s">
        <v>445</v>
      </c>
      <c r="R151">
        <v>1991</v>
      </c>
      <c r="S151" t="s">
        <v>446</v>
      </c>
      <c r="U151" t="s">
        <v>447</v>
      </c>
      <c r="V151" t="s">
        <v>448</v>
      </c>
      <c r="W151" t="s">
        <v>91</v>
      </c>
      <c r="X151" t="s">
        <v>126</v>
      </c>
      <c r="Y151" t="s">
        <v>190</v>
      </c>
      <c r="Z151" t="s">
        <v>191</v>
      </c>
      <c r="AA151" t="s">
        <v>239</v>
      </c>
      <c r="AB151" t="s">
        <v>240</v>
      </c>
      <c r="AC151" t="s">
        <v>241</v>
      </c>
      <c r="AD151" t="s">
        <v>132</v>
      </c>
      <c r="AE151" t="s">
        <v>133</v>
      </c>
      <c r="AF151" t="s">
        <v>100</v>
      </c>
      <c r="AG151" t="s">
        <v>102</v>
      </c>
      <c r="AH151" t="s">
        <v>102</v>
      </c>
      <c r="AI151" t="s">
        <v>134</v>
      </c>
      <c r="AJ151" t="s">
        <v>135</v>
      </c>
      <c r="AM151" t="s">
        <v>136</v>
      </c>
      <c r="AN151" t="s">
        <v>242</v>
      </c>
      <c r="AT151">
        <v>100</v>
      </c>
      <c r="AU151">
        <v>11</v>
      </c>
      <c r="AW151" t="s">
        <v>108</v>
      </c>
      <c r="AZ151" t="s">
        <v>212</v>
      </c>
      <c r="BA151" t="s">
        <v>142</v>
      </c>
      <c r="BB151">
        <v>15</v>
      </c>
      <c r="BC151">
        <v>20</v>
      </c>
      <c r="BD151">
        <v>0.15</v>
      </c>
      <c r="BE151" t="s">
        <v>139</v>
      </c>
      <c r="BF151">
        <v>14</v>
      </c>
      <c r="BH151">
        <f t="shared" si="7"/>
        <v>16.666666666666668</v>
      </c>
      <c r="BI151">
        <v>8</v>
      </c>
      <c r="BJ151">
        <v>5</v>
      </c>
      <c r="BK151">
        <v>1</v>
      </c>
      <c r="BR151" t="s">
        <v>449</v>
      </c>
      <c r="BT151" t="s">
        <v>461</v>
      </c>
      <c r="BU151" t="s">
        <v>473</v>
      </c>
      <c r="BV151">
        <v>28.407582900000001</v>
      </c>
      <c r="BW151">
        <v>1.69559657</v>
      </c>
      <c r="BX151">
        <v>5</v>
      </c>
      <c r="BY151">
        <v>28.748815199999999</v>
      </c>
      <c r="BZ151">
        <v>1.5684268299999999</v>
      </c>
      <c r="CA151">
        <v>5</v>
      </c>
      <c r="CB151" t="s">
        <v>113</v>
      </c>
      <c r="CC151" t="s">
        <v>451</v>
      </c>
    </row>
    <row r="152" spans="1:81" x14ac:dyDescent="0.25">
      <c r="A152" t="s">
        <v>81</v>
      </c>
      <c r="B152">
        <v>151</v>
      </c>
      <c r="C152">
        <v>32</v>
      </c>
      <c r="D152">
        <v>11</v>
      </c>
      <c r="E152">
        <v>28</v>
      </c>
      <c r="F152">
        <v>30</v>
      </c>
      <c r="G152">
        <v>73</v>
      </c>
      <c r="H152">
        <v>103</v>
      </c>
      <c r="I152" t="s">
        <v>442</v>
      </c>
      <c r="J152" t="s">
        <v>184</v>
      </c>
      <c r="L152" t="s">
        <v>471</v>
      </c>
      <c r="M152" t="s">
        <v>85</v>
      </c>
      <c r="O152" t="s">
        <v>14</v>
      </c>
      <c r="P152" t="s">
        <v>444</v>
      </c>
      <c r="Q152" t="s">
        <v>445</v>
      </c>
      <c r="R152">
        <v>1991</v>
      </c>
      <c r="S152" t="s">
        <v>446</v>
      </c>
      <c r="U152" t="s">
        <v>447</v>
      </c>
      <c r="V152" t="s">
        <v>448</v>
      </c>
      <c r="W152" t="s">
        <v>91</v>
      </c>
      <c r="X152" t="s">
        <v>126</v>
      </c>
      <c r="Y152" t="s">
        <v>190</v>
      </c>
      <c r="Z152" t="s">
        <v>191</v>
      </c>
      <c r="AA152" t="s">
        <v>239</v>
      </c>
      <c r="AB152" t="s">
        <v>240</v>
      </c>
      <c r="AC152" t="s">
        <v>241</v>
      </c>
      <c r="AD152" t="s">
        <v>132</v>
      </c>
      <c r="AE152" t="s">
        <v>133</v>
      </c>
      <c r="AF152" t="s">
        <v>100</v>
      </c>
      <c r="AG152" t="s">
        <v>102</v>
      </c>
      <c r="AH152" t="s">
        <v>102</v>
      </c>
      <c r="AI152" t="s">
        <v>134</v>
      </c>
      <c r="AJ152" t="s">
        <v>135</v>
      </c>
      <c r="AM152" t="s">
        <v>136</v>
      </c>
      <c r="AN152" t="s">
        <v>242</v>
      </c>
      <c r="AT152">
        <v>100</v>
      </c>
      <c r="AU152">
        <v>11</v>
      </c>
      <c r="AW152" t="s">
        <v>108</v>
      </c>
      <c r="AZ152" t="s">
        <v>212</v>
      </c>
      <c r="BA152" t="s">
        <v>142</v>
      </c>
      <c r="BB152">
        <v>20</v>
      </c>
      <c r="BC152">
        <v>25</v>
      </c>
      <c r="BD152">
        <v>0.15</v>
      </c>
      <c r="BE152" t="s">
        <v>139</v>
      </c>
      <c r="BF152">
        <v>14</v>
      </c>
      <c r="BH152">
        <f t="shared" si="7"/>
        <v>16.666666666666668</v>
      </c>
      <c r="BI152">
        <v>8</v>
      </c>
      <c r="BJ152">
        <v>5</v>
      </c>
      <c r="BK152">
        <v>1</v>
      </c>
      <c r="BR152" t="s">
        <v>449</v>
      </c>
      <c r="BT152" t="s">
        <v>461</v>
      </c>
      <c r="BU152" t="s">
        <v>473</v>
      </c>
      <c r="BV152">
        <v>28.748815199999999</v>
      </c>
      <c r="BW152">
        <v>1.5684268299999999</v>
      </c>
      <c r="BX152">
        <v>5</v>
      </c>
      <c r="BY152">
        <v>29.545023700000002</v>
      </c>
      <c r="BZ152">
        <v>1.6532066599999999</v>
      </c>
      <c r="CA152">
        <v>5</v>
      </c>
      <c r="CB152" t="s">
        <v>113</v>
      </c>
      <c r="CC152" t="s">
        <v>451</v>
      </c>
    </row>
    <row r="153" spans="1:81" x14ac:dyDescent="0.25">
      <c r="A153" t="s">
        <v>81</v>
      </c>
      <c r="B153">
        <v>152</v>
      </c>
      <c r="C153">
        <v>32</v>
      </c>
      <c r="D153">
        <v>11</v>
      </c>
      <c r="E153">
        <v>28</v>
      </c>
      <c r="F153">
        <v>30</v>
      </c>
      <c r="G153">
        <v>73</v>
      </c>
      <c r="H153">
        <v>104</v>
      </c>
      <c r="I153" t="s">
        <v>442</v>
      </c>
      <c r="J153" t="s">
        <v>184</v>
      </c>
      <c r="L153" t="s">
        <v>471</v>
      </c>
      <c r="M153" t="s">
        <v>85</v>
      </c>
      <c r="O153" t="s">
        <v>14</v>
      </c>
      <c r="P153" t="s">
        <v>444</v>
      </c>
      <c r="Q153" t="s">
        <v>445</v>
      </c>
      <c r="R153">
        <v>1991</v>
      </c>
      <c r="S153" t="s">
        <v>446</v>
      </c>
      <c r="U153" t="s">
        <v>447</v>
      </c>
      <c r="V153" t="s">
        <v>448</v>
      </c>
      <c r="W153" t="s">
        <v>91</v>
      </c>
      <c r="X153" t="s">
        <v>126</v>
      </c>
      <c r="Y153" t="s">
        <v>190</v>
      </c>
      <c r="Z153" t="s">
        <v>191</v>
      </c>
      <c r="AA153" t="s">
        <v>239</v>
      </c>
      <c r="AB153" t="s">
        <v>240</v>
      </c>
      <c r="AC153" t="s">
        <v>241</v>
      </c>
      <c r="AD153" t="s">
        <v>132</v>
      </c>
      <c r="AE153" t="s">
        <v>133</v>
      </c>
      <c r="AF153" t="s">
        <v>100</v>
      </c>
      <c r="AG153" t="s">
        <v>102</v>
      </c>
      <c r="AH153" t="s">
        <v>102</v>
      </c>
      <c r="AI153" t="s">
        <v>134</v>
      </c>
      <c r="AJ153" t="s">
        <v>135</v>
      </c>
      <c r="AM153" t="s">
        <v>136</v>
      </c>
      <c r="AN153" t="s">
        <v>242</v>
      </c>
      <c r="AT153">
        <v>100</v>
      </c>
      <c r="AU153">
        <v>11</v>
      </c>
      <c r="AW153" t="s">
        <v>108</v>
      </c>
      <c r="AZ153" t="s">
        <v>212</v>
      </c>
      <c r="BA153" t="s">
        <v>142</v>
      </c>
      <c r="BB153">
        <v>25</v>
      </c>
      <c r="BC153">
        <v>27</v>
      </c>
      <c r="BD153">
        <v>0.15</v>
      </c>
      <c r="BE153" t="s">
        <v>139</v>
      </c>
      <c r="BF153">
        <v>14</v>
      </c>
      <c r="BH153">
        <f t="shared" si="7"/>
        <v>16.666666666666668</v>
      </c>
      <c r="BI153">
        <v>8</v>
      </c>
      <c r="BJ153">
        <v>5</v>
      </c>
      <c r="BK153">
        <v>1</v>
      </c>
      <c r="BR153" t="s">
        <v>449</v>
      </c>
      <c r="BT153" t="s">
        <v>461</v>
      </c>
      <c r="BU153" t="s">
        <v>473</v>
      </c>
      <c r="BV153">
        <v>29.545023700000002</v>
      </c>
      <c r="BW153">
        <v>1.6532066599999999</v>
      </c>
      <c r="BX153">
        <v>5</v>
      </c>
      <c r="BY153">
        <v>29.526066400000001</v>
      </c>
      <c r="BZ153">
        <v>1.5684268299999999</v>
      </c>
      <c r="CA153">
        <v>5</v>
      </c>
      <c r="CB153" t="s">
        <v>113</v>
      </c>
      <c r="CC153" t="s">
        <v>451</v>
      </c>
    </row>
    <row r="154" spans="1:81" x14ac:dyDescent="0.25">
      <c r="A154" t="s">
        <v>81</v>
      </c>
      <c r="B154">
        <v>153</v>
      </c>
      <c r="C154">
        <v>32</v>
      </c>
      <c r="D154">
        <v>11</v>
      </c>
      <c r="E154">
        <v>29</v>
      </c>
      <c r="F154">
        <v>31</v>
      </c>
      <c r="G154">
        <v>74</v>
      </c>
      <c r="H154">
        <v>105</v>
      </c>
      <c r="I154" t="s">
        <v>442</v>
      </c>
      <c r="J154" t="s">
        <v>184</v>
      </c>
      <c r="L154" t="s">
        <v>471</v>
      </c>
      <c r="M154" t="s">
        <v>85</v>
      </c>
      <c r="O154" t="s">
        <v>14</v>
      </c>
      <c r="P154" t="s">
        <v>444</v>
      </c>
      <c r="Q154" t="s">
        <v>445</v>
      </c>
      <c r="R154">
        <v>1991</v>
      </c>
      <c r="S154" t="s">
        <v>446</v>
      </c>
      <c r="U154" t="s">
        <v>447</v>
      </c>
      <c r="V154" t="s">
        <v>448</v>
      </c>
      <c r="W154" t="s">
        <v>91</v>
      </c>
      <c r="X154" t="s">
        <v>126</v>
      </c>
      <c r="Y154" t="s">
        <v>190</v>
      </c>
      <c r="Z154" t="s">
        <v>191</v>
      </c>
      <c r="AA154" t="s">
        <v>239</v>
      </c>
      <c r="AB154" t="s">
        <v>240</v>
      </c>
      <c r="AC154" t="s">
        <v>241</v>
      </c>
      <c r="AD154" t="s">
        <v>132</v>
      </c>
      <c r="AE154" t="s">
        <v>133</v>
      </c>
      <c r="AF154" t="s">
        <v>100</v>
      </c>
      <c r="AG154" t="s">
        <v>102</v>
      </c>
      <c r="AH154" t="s">
        <v>102</v>
      </c>
      <c r="AI154" t="s">
        <v>134</v>
      </c>
      <c r="AJ154" t="s">
        <v>135</v>
      </c>
      <c r="AM154" t="s">
        <v>136</v>
      </c>
      <c r="AN154" t="s">
        <v>242</v>
      </c>
      <c r="AT154">
        <v>60</v>
      </c>
      <c r="AU154">
        <v>1.9</v>
      </c>
      <c r="AW154" t="s">
        <v>108</v>
      </c>
      <c r="AZ154" t="s">
        <v>212</v>
      </c>
      <c r="BA154" t="s">
        <v>142</v>
      </c>
      <c r="BB154">
        <v>5</v>
      </c>
      <c r="BC154">
        <v>10</v>
      </c>
      <c r="BD154">
        <v>0.15</v>
      </c>
      <c r="BE154" t="s">
        <v>139</v>
      </c>
      <c r="BF154">
        <v>14</v>
      </c>
      <c r="BH154">
        <f t="shared" si="7"/>
        <v>16.666666666666668</v>
      </c>
      <c r="BI154">
        <v>8</v>
      </c>
      <c r="BJ154">
        <v>3</v>
      </c>
      <c r="BK154">
        <v>1</v>
      </c>
      <c r="BR154" t="s">
        <v>449</v>
      </c>
      <c r="BT154" t="s">
        <v>461</v>
      </c>
      <c r="BU154" t="s">
        <v>474</v>
      </c>
      <c r="BV154">
        <v>27.270142199999999</v>
      </c>
      <c r="BW154">
        <v>1.1163929399999999</v>
      </c>
      <c r="BX154">
        <v>3</v>
      </c>
      <c r="BY154">
        <v>27.156398100000001</v>
      </c>
      <c r="BZ154">
        <v>1.1820631100000001</v>
      </c>
      <c r="CA154">
        <v>3</v>
      </c>
      <c r="CB154" t="s">
        <v>113</v>
      </c>
      <c r="CC154" t="s">
        <v>451</v>
      </c>
    </row>
    <row r="155" spans="1:81" x14ac:dyDescent="0.25">
      <c r="A155" t="s">
        <v>81</v>
      </c>
      <c r="B155">
        <v>154</v>
      </c>
      <c r="C155">
        <v>32</v>
      </c>
      <c r="D155">
        <v>11</v>
      </c>
      <c r="E155">
        <v>29</v>
      </c>
      <c r="F155">
        <v>31</v>
      </c>
      <c r="G155">
        <v>74</v>
      </c>
      <c r="H155">
        <v>106</v>
      </c>
      <c r="I155" t="s">
        <v>442</v>
      </c>
      <c r="J155" t="s">
        <v>184</v>
      </c>
      <c r="L155" t="s">
        <v>471</v>
      </c>
      <c r="M155" t="s">
        <v>85</v>
      </c>
      <c r="O155" t="s">
        <v>14</v>
      </c>
      <c r="P155" t="s">
        <v>444</v>
      </c>
      <c r="Q155" t="s">
        <v>445</v>
      </c>
      <c r="R155">
        <v>1991</v>
      </c>
      <c r="S155" t="s">
        <v>446</v>
      </c>
      <c r="U155" t="s">
        <v>447</v>
      </c>
      <c r="V155" t="s">
        <v>448</v>
      </c>
      <c r="W155" t="s">
        <v>91</v>
      </c>
      <c r="X155" t="s">
        <v>126</v>
      </c>
      <c r="Y155" t="s">
        <v>190</v>
      </c>
      <c r="Z155" t="s">
        <v>191</v>
      </c>
      <c r="AA155" t="s">
        <v>239</v>
      </c>
      <c r="AB155" t="s">
        <v>240</v>
      </c>
      <c r="AC155" t="s">
        <v>241</v>
      </c>
      <c r="AD155" t="s">
        <v>132</v>
      </c>
      <c r="AE155" t="s">
        <v>133</v>
      </c>
      <c r="AF155" t="s">
        <v>100</v>
      </c>
      <c r="AG155" t="s">
        <v>102</v>
      </c>
      <c r="AH155" t="s">
        <v>102</v>
      </c>
      <c r="AI155" t="s">
        <v>134</v>
      </c>
      <c r="AJ155" t="s">
        <v>135</v>
      </c>
      <c r="AM155" t="s">
        <v>136</v>
      </c>
      <c r="AN155" t="s">
        <v>242</v>
      </c>
      <c r="AT155">
        <v>60</v>
      </c>
      <c r="AU155">
        <v>1.9</v>
      </c>
      <c r="AW155" t="s">
        <v>108</v>
      </c>
      <c r="AZ155" t="s">
        <v>212</v>
      </c>
      <c r="BA155" t="s">
        <v>142</v>
      </c>
      <c r="BB155">
        <v>10</v>
      </c>
      <c r="BC155">
        <v>15</v>
      </c>
      <c r="BD155">
        <v>0.15</v>
      </c>
      <c r="BE155" t="s">
        <v>139</v>
      </c>
      <c r="BF155">
        <v>14</v>
      </c>
      <c r="BH155" s="14">
        <f t="shared" si="7"/>
        <v>16.666666666666668</v>
      </c>
      <c r="BI155">
        <v>8</v>
      </c>
      <c r="BJ155">
        <v>3</v>
      </c>
      <c r="BK155">
        <v>1</v>
      </c>
      <c r="BR155" t="s">
        <v>449</v>
      </c>
      <c r="BT155" t="s">
        <v>461</v>
      </c>
      <c r="BU155" t="s">
        <v>474</v>
      </c>
      <c r="BV155">
        <v>27.156398100000001</v>
      </c>
      <c r="BW155">
        <v>1.1820631100000001</v>
      </c>
      <c r="BX155">
        <v>3</v>
      </c>
      <c r="BY155">
        <v>28.654028400000001</v>
      </c>
      <c r="BZ155">
        <v>1.2477332800000001</v>
      </c>
      <c r="CA155">
        <v>3</v>
      </c>
      <c r="CB155" t="s">
        <v>113</v>
      </c>
      <c r="CC155" t="s">
        <v>451</v>
      </c>
    </row>
    <row r="156" spans="1:81" x14ac:dyDescent="0.25">
      <c r="A156" t="s">
        <v>81</v>
      </c>
      <c r="B156">
        <v>155</v>
      </c>
      <c r="C156">
        <v>32</v>
      </c>
      <c r="D156">
        <v>11</v>
      </c>
      <c r="E156">
        <v>29</v>
      </c>
      <c r="F156">
        <v>31</v>
      </c>
      <c r="G156">
        <v>74</v>
      </c>
      <c r="H156">
        <v>107</v>
      </c>
      <c r="I156" t="s">
        <v>442</v>
      </c>
      <c r="J156" t="s">
        <v>184</v>
      </c>
      <c r="L156" t="s">
        <v>471</v>
      </c>
      <c r="M156" t="s">
        <v>85</v>
      </c>
      <c r="O156" t="s">
        <v>14</v>
      </c>
      <c r="P156" t="s">
        <v>444</v>
      </c>
      <c r="Q156" t="s">
        <v>445</v>
      </c>
      <c r="R156">
        <v>1991</v>
      </c>
      <c r="S156" t="s">
        <v>446</v>
      </c>
      <c r="U156" t="s">
        <v>447</v>
      </c>
      <c r="V156" t="s">
        <v>448</v>
      </c>
      <c r="W156" t="s">
        <v>91</v>
      </c>
      <c r="X156" t="s">
        <v>126</v>
      </c>
      <c r="Y156" t="s">
        <v>190</v>
      </c>
      <c r="Z156" t="s">
        <v>191</v>
      </c>
      <c r="AA156" t="s">
        <v>239</v>
      </c>
      <c r="AB156" t="s">
        <v>240</v>
      </c>
      <c r="AC156" t="s">
        <v>241</v>
      </c>
      <c r="AD156" t="s">
        <v>132</v>
      </c>
      <c r="AE156" t="s">
        <v>133</v>
      </c>
      <c r="AF156" t="s">
        <v>100</v>
      </c>
      <c r="AG156" t="s">
        <v>102</v>
      </c>
      <c r="AH156" t="s">
        <v>102</v>
      </c>
      <c r="AI156" t="s">
        <v>134</v>
      </c>
      <c r="AJ156" t="s">
        <v>135</v>
      </c>
      <c r="AM156" t="s">
        <v>136</v>
      </c>
      <c r="AN156" t="s">
        <v>242</v>
      </c>
      <c r="AT156">
        <v>60</v>
      </c>
      <c r="AU156">
        <v>1.9</v>
      </c>
      <c r="AW156" t="s">
        <v>108</v>
      </c>
      <c r="AZ156" t="s">
        <v>212</v>
      </c>
      <c r="BA156" t="s">
        <v>142</v>
      </c>
      <c r="BB156">
        <v>15</v>
      </c>
      <c r="BC156">
        <v>20</v>
      </c>
      <c r="BD156">
        <v>0.15</v>
      </c>
      <c r="BE156" t="s">
        <v>139</v>
      </c>
      <c r="BF156">
        <v>14</v>
      </c>
      <c r="BH156">
        <f t="shared" si="7"/>
        <v>16.666666666666668</v>
      </c>
      <c r="BI156">
        <v>8</v>
      </c>
      <c r="BJ156">
        <v>3</v>
      </c>
      <c r="BK156">
        <v>1</v>
      </c>
      <c r="BR156" t="s">
        <v>449</v>
      </c>
      <c r="BT156" t="s">
        <v>461</v>
      </c>
      <c r="BU156" t="s">
        <v>474</v>
      </c>
      <c r="BV156">
        <v>28.654028400000001</v>
      </c>
      <c r="BW156">
        <v>1.2477332800000001</v>
      </c>
      <c r="BX156">
        <v>3</v>
      </c>
      <c r="BY156">
        <v>29.7535545</v>
      </c>
      <c r="BZ156">
        <v>0.95221750999999999</v>
      </c>
      <c r="CA156">
        <v>3</v>
      </c>
      <c r="CB156" t="s">
        <v>113</v>
      </c>
      <c r="CC156" t="s">
        <v>451</v>
      </c>
    </row>
    <row r="157" spans="1:81" x14ac:dyDescent="0.25">
      <c r="A157" t="s">
        <v>81</v>
      </c>
      <c r="B157">
        <v>156</v>
      </c>
      <c r="C157">
        <v>32</v>
      </c>
      <c r="D157">
        <v>11</v>
      </c>
      <c r="E157">
        <v>29</v>
      </c>
      <c r="F157">
        <v>31</v>
      </c>
      <c r="G157">
        <v>74</v>
      </c>
      <c r="H157">
        <v>108</v>
      </c>
      <c r="I157" t="s">
        <v>442</v>
      </c>
      <c r="J157" t="s">
        <v>184</v>
      </c>
      <c r="L157" t="s">
        <v>471</v>
      </c>
      <c r="M157" t="s">
        <v>85</v>
      </c>
      <c r="O157" t="s">
        <v>14</v>
      </c>
      <c r="P157" t="s">
        <v>444</v>
      </c>
      <c r="Q157" t="s">
        <v>445</v>
      </c>
      <c r="R157">
        <v>1991</v>
      </c>
      <c r="S157" t="s">
        <v>446</v>
      </c>
      <c r="U157" t="s">
        <v>447</v>
      </c>
      <c r="V157" t="s">
        <v>448</v>
      </c>
      <c r="W157" t="s">
        <v>91</v>
      </c>
      <c r="X157" t="s">
        <v>126</v>
      </c>
      <c r="Y157" t="s">
        <v>190</v>
      </c>
      <c r="Z157" t="s">
        <v>191</v>
      </c>
      <c r="AA157" t="s">
        <v>239</v>
      </c>
      <c r="AB157" t="s">
        <v>240</v>
      </c>
      <c r="AC157" t="s">
        <v>241</v>
      </c>
      <c r="AD157" t="s">
        <v>132</v>
      </c>
      <c r="AE157" t="s">
        <v>133</v>
      </c>
      <c r="AF157" t="s">
        <v>100</v>
      </c>
      <c r="AG157" t="s">
        <v>102</v>
      </c>
      <c r="AH157" t="s">
        <v>102</v>
      </c>
      <c r="AI157" t="s">
        <v>134</v>
      </c>
      <c r="AJ157" t="s">
        <v>135</v>
      </c>
      <c r="AM157" t="s">
        <v>136</v>
      </c>
      <c r="AN157" t="s">
        <v>242</v>
      </c>
      <c r="AT157">
        <v>60</v>
      </c>
      <c r="AU157">
        <v>1.9</v>
      </c>
      <c r="AW157" t="s">
        <v>108</v>
      </c>
      <c r="AZ157" t="s">
        <v>212</v>
      </c>
      <c r="BA157" t="s">
        <v>142</v>
      </c>
      <c r="BB157">
        <v>20</v>
      </c>
      <c r="BC157">
        <v>25</v>
      </c>
      <c r="BD157">
        <v>0.15</v>
      </c>
      <c r="BE157" t="s">
        <v>139</v>
      </c>
      <c r="BF157">
        <v>14</v>
      </c>
      <c r="BH157">
        <f t="shared" si="7"/>
        <v>16.666666666666668</v>
      </c>
      <c r="BI157">
        <v>8</v>
      </c>
      <c r="BJ157">
        <v>3</v>
      </c>
      <c r="BK157">
        <v>1</v>
      </c>
      <c r="BR157" t="s">
        <v>449</v>
      </c>
      <c r="BT157" t="s">
        <v>461</v>
      </c>
      <c r="BU157" t="s">
        <v>474</v>
      </c>
      <c r="BV157">
        <v>29.7535545</v>
      </c>
      <c r="BW157">
        <v>0.95221750999999999</v>
      </c>
      <c r="BX157">
        <v>3</v>
      </c>
      <c r="BY157">
        <v>28.672985799999999</v>
      </c>
      <c r="BZ157">
        <v>1.1820631100000001</v>
      </c>
      <c r="CA157">
        <v>3</v>
      </c>
      <c r="CB157" t="s">
        <v>113</v>
      </c>
      <c r="CC157" t="s">
        <v>451</v>
      </c>
    </row>
    <row r="158" spans="1:81" x14ac:dyDescent="0.25">
      <c r="A158" t="s">
        <v>81</v>
      </c>
      <c r="B158">
        <v>157</v>
      </c>
      <c r="C158">
        <v>32</v>
      </c>
      <c r="D158">
        <v>11</v>
      </c>
      <c r="E158">
        <v>29</v>
      </c>
      <c r="F158">
        <v>31</v>
      </c>
      <c r="G158">
        <v>74</v>
      </c>
      <c r="H158">
        <v>109</v>
      </c>
      <c r="I158" t="s">
        <v>442</v>
      </c>
      <c r="J158" t="s">
        <v>184</v>
      </c>
      <c r="L158" t="s">
        <v>471</v>
      </c>
      <c r="M158" t="s">
        <v>85</v>
      </c>
      <c r="O158" t="s">
        <v>14</v>
      </c>
      <c r="P158" t="s">
        <v>444</v>
      </c>
      <c r="Q158" t="s">
        <v>445</v>
      </c>
      <c r="R158">
        <v>1991</v>
      </c>
      <c r="S158" t="s">
        <v>446</v>
      </c>
      <c r="U158" t="s">
        <v>447</v>
      </c>
      <c r="V158" t="s">
        <v>448</v>
      </c>
      <c r="W158" t="s">
        <v>91</v>
      </c>
      <c r="X158" t="s">
        <v>126</v>
      </c>
      <c r="Y158" t="s">
        <v>190</v>
      </c>
      <c r="Z158" t="s">
        <v>191</v>
      </c>
      <c r="AA158" t="s">
        <v>239</v>
      </c>
      <c r="AB158" t="s">
        <v>240</v>
      </c>
      <c r="AC158" t="s">
        <v>241</v>
      </c>
      <c r="AD158" t="s">
        <v>132</v>
      </c>
      <c r="AE158" t="s">
        <v>133</v>
      </c>
      <c r="AF158" t="s">
        <v>100</v>
      </c>
      <c r="AG158" t="s">
        <v>102</v>
      </c>
      <c r="AH158" t="s">
        <v>102</v>
      </c>
      <c r="AI158" t="s">
        <v>134</v>
      </c>
      <c r="AJ158" t="s">
        <v>135</v>
      </c>
      <c r="AM158" t="s">
        <v>136</v>
      </c>
      <c r="AN158" t="s">
        <v>242</v>
      </c>
      <c r="AT158">
        <v>60</v>
      </c>
      <c r="AU158">
        <v>1.9</v>
      </c>
      <c r="AW158" t="s">
        <v>108</v>
      </c>
      <c r="AZ158" t="s">
        <v>212</v>
      </c>
      <c r="BA158" t="s">
        <v>142</v>
      </c>
      <c r="BB158">
        <v>25</v>
      </c>
      <c r="BC158">
        <v>27</v>
      </c>
      <c r="BD158">
        <v>0.15</v>
      </c>
      <c r="BE158" t="s">
        <v>139</v>
      </c>
      <c r="BF158">
        <v>14</v>
      </c>
      <c r="BH158">
        <f t="shared" si="7"/>
        <v>16.666666666666668</v>
      </c>
      <c r="BI158">
        <v>8</v>
      </c>
      <c r="BJ158">
        <v>3</v>
      </c>
      <c r="BK158">
        <v>1</v>
      </c>
      <c r="BR158" t="s">
        <v>449</v>
      </c>
      <c r="BT158" t="s">
        <v>475</v>
      </c>
      <c r="BU158" t="s">
        <v>474</v>
      </c>
      <c r="BV158">
        <v>28.672985799999999</v>
      </c>
      <c r="BW158">
        <v>1.1820631100000001</v>
      </c>
      <c r="BX158">
        <v>3</v>
      </c>
      <c r="BY158">
        <v>29.8293839</v>
      </c>
      <c r="BZ158" t="s">
        <v>454</v>
      </c>
      <c r="CA158">
        <v>3</v>
      </c>
      <c r="CB158" t="s">
        <v>113</v>
      </c>
      <c r="CC158" t="s">
        <v>476</v>
      </c>
    </row>
    <row r="159" spans="1:81" x14ac:dyDescent="0.25">
      <c r="A159" t="s">
        <v>81</v>
      </c>
      <c r="B159">
        <v>158</v>
      </c>
      <c r="C159">
        <v>32</v>
      </c>
      <c r="D159">
        <v>11</v>
      </c>
      <c r="E159">
        <v>29</v>
      </c>
      <c r="F159">
        <v>31</v>
      </c>
      <c r="G159">
        <v>75</v>
      </c>
      <c r="H159">
        <v>110</v>
      </c>
      <c r="I159" t="s">
        <v>442</v>
      </c>
      <c r="J159" t="s">
        <v>184</v>
      </c>
      <c r="L159" t="s">
        <v>471</v>
      </c>
      <c r="M159" t="s">
        <v>85</v>
      </c>
      <c r="O159" t="s">
        <v>14</v>
      </c>
      <c r="P159" t="s">
        <v>444</v>
      </c>
      <c r="Q159" t="s">
        <v>445</v>
      </c>
      <c r="R159">
        <v>1991</v>
      </c>
      <c r="S159" t="s">
        <v>446</v>
      </c>
      <c r="U159" t="s">
        <v>447</v>
      </c>
      <c r="V159" t="s">
        <v>448</v>
      </c>
      <c r="W159" t="s">
        <v>91</v>
      </c>
      <c r="X159" t="s">
        <v>126</v>
      </c>
      <c r="Y159" t="s">
        <v>190</v>
      </c>
      <c r="Z159" t="s">
        <v>191</v>
      </c>
      <c r="AA159" t="s">
        <v>239</v>
      </c>
      <c r="AB159" t="s">
        <v>240</v>
      </c>
      <c r="AC159" t="s">
        <v>241</v>
      </c>
      <c r="AD159" t="s">
        <v>132</v>
      </c>
      <c r="AE159" t="s">
        <v>133</v>
      </c>
      <c r="AF159" t="s">
        <v>100</v>
      </c>
      <c r="AG159" t="s">
        <v>102</v>
      </c>
      <c r="AH159" t="s">
        <v>102</v>
      </c>
      <c r="AI159" t="s">
        <v>134</v>
      </c>
      <c r="AJ159" t="s">
        <v>135</v>
      </c>
      <c r="AM159" t="s">
        <v>136</v>
      </c>
      <c r="AN159" t="s">
        <v>242</v>
      </c>
      <c r="AT159">
        <v>102</v>
      </c>
      <c r="AU159">
        <v>11</v>
      </c>
      <c r="AW159" t="s">
        <v>108</v>
      </c>
      <c r="AZ159" t="s">
        <v>212</v>
      </c>
      <c r="BA159" t="s">
        <v>142</v>
      </c>
      <c r="BB159">
        <v>5</v>
      </c>
      <c r="BC159">
        <v>10</v>
      </c>
      <c r="BD159">
        <v>0.15</v>
      </c>
      <c r="BE159" t="s">
        <v>139</v>
      </c>
      <c r="BF159">
        <v>14</v>
      </c>
      <c r="BH159">
        <f t="shared" si="7"/>
        <v>16.666666666666668</v>
      </c>
      <c r="BI159">
        <v>8</v>
      </c>
      <c r="BJ159">
        <v>3</v>
      </c>
      <c r="BK159">
        <v>1</v>
      </c>
      <c r="BR159" t="s">
        <v>449</v>
      </c>
      <c r="BT159" t="s">
        <v>461</v>
      </c>
      <c r="BU159" t="s">
        <v>477</v>
      </c>
      <c r="BV159">
        <v>26.701421799999999</v>
      </c>
      <c r="BW159">
        <v>1.14922802</v>
      </c>
      <c r="BX159">
        <v>3</v>
      </c>
      <c r="BY159">
        <v>28.483412300000001</v>
      </c>
      <c r="BZ159">
        <v>1.5104139700000001</v>
      </c>
      <c r="CA159">
        <v>3</v>
      </c>
      <c r="CB159" t="s">
        <v>113</v>
      </c>
      <c r="CC159" t="s">
        <v>451</v>
      </c>
    </row>
    <row r="160" spans="1:81" x14ac:dyDescent="0.25">
      <c r="A160" t="s">
        <v>81</v>
      </c>
      <c r="B160">
        <v>159</v>
      </c>
      <c r="C160">
        <v>32</v>
      </c>
      <c r="D160">
        <v>11</v>
      </c>
      <c r="E160">
        <v>29</v>
      </c>
      <c r="F160">
        <v>31</v>
      </c>
      <c r="G160">
        <v>75</v>
      </c>
      <c r="H160">
        <v>111</v>
      </c>
      <c r="I160" t="s">
        <v>442</v>
      </c>
      <c r="J160" t="s">
        <v>184</v>
      </c>
      <c r="L160" t="s">
        <v>471</v>
      </c>
      <c r="M160" t="s">
        <v>85</v>
      </c>
      <c r="O160" t="s">
        <v>14</v>
      </c>
      <c r="P160" t="s">
        <v>444</v>
      </c>
      <c r="Q160" t="s">
        <v>445</v>
      </c>
      <c r="R160">
        <v>1991</v>
      </c>
      <c r="S160" t="s">
        <v>446</v>
      </c>
      <c r="U160" t="s">
        <v>447</v>
      </c>
      <c r="V160" t="s">
        <v>448</v>
      </c>
      <c r="W160" t="s">
        <v>91</v>
      </c>
      <c r="X160" t="s">
        <v>126</v>
      </c>
      <c r="Y160" t="s">
        <v>190</v>
      </c>
      <c r="Z160" t="s">
        <v>191</v>
      </c>
      <c r="AA160" t="s">
        <v>239</v>
      </c>
      <c r="AB160" t="s">
        <v>240</v>
      </c>
      <c r="AC160" t="s">
        <v>241</v>
      </c>
      <c r="AD160" t="s">
        <v>132</v>
      </c>
      <c r="AE160" t="s">
        <v>133</v>
      </c>
      <c r="AF160" t="s">
        <v>100</v>
      </c>
      <c r="AG160" t="s">
        <v>102</v>
      </c>
      <c r="AH160" t="s">
        <v>102</v>
      </c>
      <c r="AI160" t="s">
        <v>134</v>
      </c>
      <c r="AJ160" t="s">
        <v>135</v>
      </c>
      <c r="AM160" t="s">
        <v>136</v>
      </c>
      <c r="AN160" t="s">
        <v>242</v>
      </c>
      <c r="AT160">
        <v>102</v>
      </c>
      <c r="AU160">
        <v>11</v>
      </c>
      <c r="AW160" t="s">
        <v>108</v>
      </c>
      <c r="AZ160" t="s">
        <v>212</v>
      </c>
      <c r="BA160" t="s">
        <v>142</v>
      </c>
      <c r="BB160">
        <v>10</v>
      </c>
      <c r="BC160">
        <v>15</v>
      </c>
      <c r="BD160">
        <v>0.15</v>
      </c>
      <c r="BE160" t="s">
        <v>139</v>
      </c>
      <c r="BF160">
        <v>14</v>
      </c>
      <c r="BH160">
        <f t="shared" si="7"/>
        <v>16.666666666666668</v>
      </c>
      <c r="BI160">
        <v>8</v>
      </c>
      <c r="BJ160">
        <v>3</v>
      </c>
      <c r="BK160">
        <v>1</v>
      </c>
      <c r="BR160" t="s">
        <v>449</v>
      </c>
      <c r="BT160" t="s">
        <v>461</v>
      </c>
      <c r="BU160" t="s">
        <v>477</v>
      </c>
      <c r="BV160">
        <v>28.483412300000001</v>
      </c>
      <c r="BW160">
        <v>1.5104139700000001</v>
      </c>
      <c r="BX160">
        <v>3</v>
      </c>
      <c r="BY160">
        <v>29.033175400000001</v>
      </c>
      <c r="BZ160">
        <v>1.64175432</v>
      </c>
      <c r="CA160">
        <v>3</v>
      </c>
      <c r="CB160" t="s">
        <v>113</v>
      </c>
      <c r="CC160" t="s">
        <v>451</v>
      </c>
    </row>
    <row r="161" spans="1:81" x14ac:dyDescent="0.25">
      <c r="A161" t="s">
        <v>81</v>
      </c>
      <c r="B161">
        <v>160</v>
      </c>
      <c r="C161">
        <v>32</v>
      </c>
      <c r="D161">
        <v>11</v>
      </c>
      <c r="E161">
        <v>29</v>
      </c>
      <c r="F161">
        <v>31</v>
      </c>
      <c r="G161">
        <v>75</v>
      </c>
      <c r="H161">
        <v>112</v>
      </c>
      <c r="I161" t="s">
        <v>442</v>
      </c>
      <c r="J161" t="s">
        <v>184</v>
      </c>
      <c r="L161" t="s">
        <v>471</v>
      </c>
      <c r="M161" t="s">
        <v>85</v>
      </c>
      <c r="O161" t="s">
        <v>14</v>
      </c>
      <c r="P161" t="s">
        <v>444</v>
      </c>
      <c r="Q161" t="s">
        <v>445</v>
      </c>
      <c r="R161">
        <v>1991</v>
      </c>
      <c r="S161" t="s">
        <v>446</v>
      </c>
      <c r="U161" t="s">
        <v>447</v>
      </c>
      <c r="V161" t="s">
        <v>448</v>
      </c>
      <c r="W161" t="s">
        <v>91</v>
      </c>
      <c r="X161" t="s">
        <v>126</v>
      </c>
      <c r="Y161" t="s">
        <v>190</v>
      </c>
      <c r="Z161" t="s">
        <v>191</v>
      </c>
      <c r="AA161" t="s">
        <v>239</v>
      </c>
      <c r="AB161" t="s">
        <v>240</v>
      </c>
      <c r="AC161" t="s">
        <v>241</v>
      </c>
      <c r="AD161" t="s">
        <v>132</v>
      </c>
      <c r="AE161" t="s">
        <v>133</v>
      </c>
      <c r="AF161" t="s">
        <v>100</v>
      </c>
      <c r="AG161" t="s">
        <v>102</v>
      </c>
      <c r="AH161" t="s">
        <v>102</v>
      </c>
      <c r="AI161" t="s">
        <v>134</v>
      </c>
      <c r="AJ161" t="s">
        <v>135</v>
      </c>
      <c r="AM161" t="s">
        <v>136</v>
      </c>
      <c r="AN161" t="s">
        <v>242</v>
      </c>
      <c r="AT161">
        <v>102</v>
      </c>
      <c r="AU161">
        <v>11</v>
      </c>
      <c r="AW161" t="s">
        <v>108</v>
      </c>
      <c r="AZ161" t="s">
        <v>212</v>
      </c>
      <c r="BA161" t="s">
        <v>142</v>
      </c>
      <c r="BB161">
        <v>15</v>
      </c>
      <c r="BC161">
        <v>20</v>
      </c>
      <c r="BD161">
        <v>0.15</v>
      </c>
      <c r="BE161" t="s">
        <v>139</v>
      </c>
      <c r="BF161">
        <v>14</v>
      </c>
      <c r="BH161">
        <f t="shared" si="7"/>
        <v>16.666666666666668</v>
      </c>
      <c r="BI161">
        <v>8</v>
      </c>
      <c r="BJ161">
        <v>3</v>
      </c>
      <c r="BK161">
        <v>1</v>
      </c>
      <c r="BR161" t="s">
        <v>449</v>
      </c>
      <c r="BT161" t="s">
        <v>461</v>
      </c>
      <c r="BU161" t="s">
        <v>477</v>
      </c>
      <c r="BV161">
        <v>29.033175400000001</v>
      </c>
      <c r="BW161">
        <v>1.64175432</v>
      </c>
      <c r="BX161">
        <v>3</v>
      </c>
      <c r="BY161">
        <v>30</v>
      </c>
      <c r="BZ161">
        <v>1.2805683699999999</v>
      </c>
      <c r="CA161">
        <v>3</v>
      </c>
      <c r="CB161" t="s">
        <v>113</v>
      </c>
      <c r="CC161" t="s">
        <v>451</v>
      </c>
    </row>
    <row r="162" spans="1:81" x14ac:dyDescent="0.25">
      <c r="A162" t="s">
        <v>81</v>
      </c>
      <c r="B162">
        <v>161</v>
      </c>
      <c r="C162">
        <v>32</v>
      </c>
      <c r="D162">
        <v>11</v>
      </c>
      <c r="E162">
        <v>29</v>
      </c>
      <c r="F162">
        <v>31</v>
      </c>
      <c r="G162">
        <v>75</v>
      </c>
      <c r="H162">
        <v>113</v>
      </c>
      <c r="I162" t="s">
        <v>442</v>
      </c>
      <c r="J162" t="s">
        <v>184</v>
      </c>
      <c r="L162" t="s">
        <v>471</v>
      </c>
      <c r="M162" t="s">
        <v>85</v>
      </c>
      <c r="O162" t="s">
        <v>14</v>
      </c>
      <c r="P162" t="s">
        <v>444</v>
      </c>
      <c r="Q162" t="s">
        <v>445</v>
      </c>
      <c r="R162">
        <v>1991</v>
      </c>
      <c r="S162" t="s">
        <v>446</v>
      </c>
      <c r="U162" t="s">
        <v>447</v>
      </c>
      <c r="V162" t="s">
        <v>448</v>
      </c>
      <c r="W162" t="s">
        <v>91</v>
      </c>
      <c r="X162" t="s">
        <v>126</v>
      </c>
      <c r="Y162" t="s">
        <v>190</v>
      </c>
      <c r="Z162" t="s">
        <v>191</v>
      </c>
      <c r="AA162" t="s">
        <v>239</v>
      </c>
      <c r="AB162" t="s">
        <v>240</v>
      </c>
      <c r="AC162" t="s">
        <v>241</v>
      </c>
      <c r="AD162" t="s">
        <v>132</v>
      </c>
      <c r="AE162" t="s">
        <v>133</v>
      </c>
      <c r="AF162" t="s">
        <v>100</v>
      </c>
      <c r="AG162" t="s">
        <v>102</v>
      </c>
      <c r="AH162" t="s">
        <v>102</v>
      </c>
      <c r="AI162" t="s">
        <v>134</v>
      </c>
      <c r="AJ162" t="s">
        <v>135</v>
      </c>
      <c r="AM162" t="s">
        <v>136</v>
      </c>
      <c r="AN162" t="s">
        <v>242</v>
      </c>
      <c r="AT162">
        <v>102</v>
      </c>
      <c r="AU162">
        <v>11</v>
      </c>
      <c r="AW162" t="s">
        <v>108</v>
      </c>
      <c r="AZ162" t="s">
        <v>212</v>
      </c>
      <c r="BA162" t="s">
        <v>142</v>
      </c>
      <c r="BB162">
        <v>20</v>
      </c>
      <c r="BC162">
        <v>25</v>
      </c>
      <c r="BD162">
        <v>0.15</v>
      </c>
      <c r="BE162" t="s">
        <v>139</v>
      </c>
      <c r="BF162">
        <v>14</v>
      </c>
      <c r="BH162">
        <f t="shared" si="7"/>
        <v>16.666666666666668</v>
      </c>
      <c r="BI162">
        <v>8</v>
      </c>
      <c r="BJ162">
        <v>3</v>
      </c>
      <c r="BK162">
        <v>1</v>
      </c>
      <c r="BR162" t="s">
        <v>449</v>
      </c>
      <c r="BT162" t="s">
        <v>461</v>
      </c>
      <c r="BU162" t="s">
        <v>477</v>
      </c>
      <c r="BV162">
        <v>30</v>
      </c>
      <c r="BW162">
        <v>1.2805683699999999</v>
      </c>
      <c r="BX162">
        <v>3</v>
      </c>
      <c r="BY162">
        <v>29.810426499999998</v>
      </c>
      <c r="BZ162">
        <v>1.2477332800000001</v>
      </c>
      <c r="CA162">
        <v>3</v>
      </c>
      <c r="CB162" t="s">
        <v>113</v>
      </c>
      <c r="CC162" t="s">
        <v>451</v>
      </c>
    </row>
    <row r="163" spans="1:81" x14ac:dyDescent="0.25">
      <c r="A163" t="s">
        <v>81</v>
      </c>
      <c r="B163">
        <v>162</v>
      </c>
      <c r="C163">
        <v>32</v>
      </c>
      <c r="D163">
        <v>11</v>
      </c>
      <c r="E163">
        <v>29</v>
      </c>
      <c r="F163">
        <v>31</v>
      </c>
      <c r="G163">
        <v>75</v>
      </c>
      <c r="H163">
        <v>114</v>
      </c>
      <c r="I163" t="s">
        <v>442</v>
      </c>
      <c r="J163" t="s">
        <v>184</v>
      </c>
      <c r="L163" t="s">
        <v>471</v>
      </c>
      <c r="M163" t="s">
        <v>85</v>
      </c>
      <c r="O163" t="s">
        <v>14</v>
      </c>
      <c r="P163" t="s">
        <v>444</v>
      </c>
      <c r="Q163" t="s">
        <v>445</v>
      </c>
      <c r="R163">
        <v>1991</v>
      </c>
      <c r="S163" t="s">
        <v>446</v>
      </c>
      <c r="U163" t="s">
        <v>447</v>
      </c>
      <c r="V163" t="s">
        <v>448</v>
      </c>
      <c r="W163" t="s">
        <v>91</v>
      </c>
      <c r="X163" t="s">
        <v>126</v>
      </c>
      <c r="Y163" t="s">
        <v>190</v>
      </c>
      <c r="Z163" t="s">
        <v>191</v>
      </c>
      <c r="AA163" t="s">
        <v>239</v>
      </c>
      <c r="AB163" t="s">
        <v>240</v>
      </c>
      <c r="AC163" t="s">
        <v>241</v>
      </c>
      <c r="AD163" t="s">
        <v>132</v>
      </c>
      <c r="AE163" t="s">
        <v>133</v>
      </c>
      <c r="AF163" t="s">
        <v>100</v>
      </c>
      <c r="AG163" t="s">
        <v>102</v>
      </c>
      <c r="AH163" t="s">
        <v>102</v>
      </c>
      <c r="AI163" t="s">
        <v>134</v>
      </c>
      <c r="AJ163" t="s">
        <v>135</v>
      </c>
      <c r="AM163" t="s">
        <v>136</v>
      </c>
      <c r="AN163" t="s">
        <v>242</v>
      </c>
      <c r="AT163">
        <v>102</v>
      </c>
      <c r="AU163">
        <v>11</v>
      </c>
      <c r="AW163" t="s">
        <v>108</v>
      </c>
      <c r="AZ163" t="s">
        <v>212</v>
      </c>
      <c r="BA163" t="s">
        <v>142</v>
      </c>
      <c r="BB163">
        <v>25</v>
      </c>
      <c r="BC163">
        <v>27</v>
      </c>
      <c r="BD163">
        <v>0.15</v>
      </c>
      <c r="BE163" t="s">
        <v>139</v>
      </c>
      <c r="BF163">
        <v>14</v>
      </c>
      <c r="BH163">
        <f t="shared" si="7"/>
        <v>16.666666666666668</v>
      </c>
      <c r="BI163">
        <v>8</v>
      </c>
      <c r="BJ163">
        <v>3</v>
      </c>
      <c r="BK163">
        <v>1</v>
      </c>
      <c r="BR163" t="s">
        <v>449</v>
      </c>
      <c r="BT163" t="s">
        <v>461</v>
      </c>
      <c r="BU163" t="s">
        <v>477</v>
      </c>
      <c r="BV163">
        <v>29.810426499999998</v>
      </c>
      <c r="BW163">
        <v>1.2477332800000001</v>
      </c>
      <c r="BX163">
        <v>3</v>
      </c>
      <c r="BY163">
        <v>28.654028400000001</v>
      </c>
      <c r="BZ163">
        <v>1.2805683699999999</v>
      </c>
      <c r="CA163">
        <v>3</v>
      </c>
      <c r="CB163" t="s">
        <v>113</v>
      </c>
      <c r="CC163" t="s">
        <v>451</v>
      </c>
    </row>
    <row r="164" spans="1:81" x14ac:dyDescent="0.25">
      <c r="A164" t="s">
        <v>81</v>
      </c>
      <c r="B164">
        <v>163</v>
      </c>
      <c r="C164">
        <v>32</v>
      </c>
      <c r="D164">
        <v>11</v>
      </c>
      <c r="E164">
        <v>28</v>
      </c>
      <c r="F164">
        <v>30</v>
      </c>
      <c r="G164">
        <v>76</v>
      </c>
      <c r="H164">
        <v>95</v>
      </c>
      <c r="I164" t="s">
        <v>442</v>
      </c>
      <c r="J164" t="s">
        <v>184</v>
      </c>
      <c r="L164" t="s">
        <v>478</v>
      </c>
      <c r="M164" t="s">
        <v>85</v>
      </c>
      <c r="O164" t="s">
        <v>14</v>
      </c>
      <c r="P164" t="s">
        <v>444</v>
      </c>
      <c r="Q164" t="s">
        <v>445</v>
      </c>
      <c r="R164">
        <v>1991</v>
      </c>
      <c r="S164" t="s">
        <v>446</v>
      </c>
      <c r="U164" t="s">
        <v>447</v>
      </c>
      <c r="V164" t="s">
        <v>448</v>
      </c>
      <c r="W164" t="s">
        <v>91</v>
      </c>
      <c r="X164" t="s">
        <v>126</v>
      </c>
      <c r="Y164" t="s">
        <v>190</v>
      </c>
      <c r="Z164" t="s">
        <v>191</v>
      </c>
      <c r="AA164" t="s">
        <v>239</v>
      </c>
      <c r="AB164" t="s">
        <v>240</v>
      </c>
      <c r="AC164" t="s">
        <v>241</v>
      </c>
      <c r="AD164" t="s">
        <v>132</v>
      </c>
      <c r="AE164" t="s">
        <v>133</v>
      </c>
      <c r="AF164" t="s">
        <v>100</v>
      </c>
      <c r="AG164" t="s">
        <v>102</v>
      </c>
      <c r="AH164" t="s">
        <v>102</v>
      </c>
      <c r="AI164" t="s">
        <v>134</v>
      </c>
      <c r="AJ164" t="s">
        <v>135</v>
      </c>
      <c r="AM164" t="s">
        <v>136</v>
      </c>
      <c r="AN164" t="s">
        <v>242</v>
      </c>
      <c r="AT164">
        <v>50</v>
      </c>
      <c r="AU164">
        <v>1.5</v>
      </c>
      <c r="AW164" t="s">
        <v>108</v>
      </c>
      <c r="AZ164" t="s">
        <v>212</v>
      </c>
      <c r="BA164" t="s">
        <v>142</v>
      </c>
      <c r="BB164">
        <v>5</v>
      </c>
      <c r="BC164">
        <v>10</v>
      </c>
      <c r="BD164">
        <v>0.15</v>
      </c>
      <c r="BE164" t="s">
        <v>139</v>
      </c>
      <c r="BF164">
        <v>14</v>
      </c>
      <c r="BH164">
        <f t="shared" ref="BH164:BH183" si="8">24*7</f>
        <v>168</v>
      </c>
      <c r="BI164">
        <v>8</v>
      </c>
      <c r="BJ164">
        <v>5</v>
      </c>
      <c r="BK164">
        <v>1</v>
      </c>
      <c r="BR164" t="s">
        <v>449</v>
      </c>
      <c r="BT164" t="s">
        <v>461</v>
      </c>
      <c r="BU164" t="s">
        <v>479</v>
      </c>
      <c r="BV164">
        <v>24.421725200000001</v>
      </c>
      <c r="BW164">
        <v>0.94300629999999996</v>
      </c>
      <c r="BX164">
        <v>5</v>
      </c>
      <c r="BY164">
        <v>25.993610199999999</v>
      </c>
      <c r="BZ164">
        <v>1.24305376</v>
      </c>
      <c r="CA164">
        <v>5</v>
      </c>
      <c r="CB164" t="s">
        <v>113</v>
      </c>
      <c r="CC164" t="s">
        <v>451</v>
      </c>
    </row>
    <row r="165" spans="1:81" x14ac:dyDescent="0.25">
      <c r="A165" t="s">
        <v>81</v>
      </c>
      <c r="B165">
        <v>164</v>
      </c>
      <c r="C165">
        <v>32</v>
      </c>
      <c r="D165">
        <v>11</v>
      </c>
      <c r="E165">
        <v>28</v>
      </c>
      <c r="F165">
        <v>30</v>
      </c>
      <c r="G165">
        <v>76</v>
      </c>
      <c r="H165">
        <v>96</v>
      </c>
      <c r="I165" t="s">
        <v>442</v>
      </c>
      <c r="J165" t="s">
        <v>184</v>
      </c>
      <c r="L165" t="s">
        <v>478</v>
      </c>
      <c r="M165" t="s">
        <v>85</v>
      </c>
      <c r="O165" t="s">
        <v>14</v>
      </c>
      <c r="P165" t="s">
        <v>444</v>
      </c>
      <c r="Q165" t="s">
        <v>445</v>
      </c>
      <c r="R165">
        <v>1991</v>
      </c>
      <c r="S165" t="s">
        <v>446</v>
      </c>
      <c r="U165" t="s">
        <v>447</v>
      </c>
      <c r="V165" t="s">
        <v>448</v>
      </c>
      <c r="W165" t="s">
        <v>91</v>
      </c>
      <c r="X165" t="s">
        <v>126</v>
      </c>
      <c r="Y165" t="s">
        <v>190</v>
      </c>
      <c r="Z165" t="s">
        <v>191</v>
      </c>
      <c r="AA165" t="s">
        <v>239</v>
      </c>
      <c r="AB165" t="s">
        <v>240</v>
      </c>
      <c r="AC165" t="s">
        <v>241</v>
      </c>
      <c r="AD165" t="s">
        <v>132</v>
      </c>
      <c r="AE165" t="s">
        <v>133</v>
      </c>
      <c r="AF165" t="s">
        <v>100</v>
      </c>
      <c r="AG165" t="s">
        <v>102</v>
      </c>
      <c r="AH165" t="s">
        <v>102</v>
      </c>
      <c r="AI165" t="s">
        <v>134</v>
      </c>
      <c r="AJ165" t="s">
        <v>135</v>
      </c>
      <c r="AM165" t="s">
        <v>136</v>
      </c>
      <c r="AN165" t="s">
        <v>242</v>
      </c>
      <c r="AT165">
        <v>50</v>
      </c>
      <c r="AU165">
        <v>1.5</v>
      </c>
      <c r="AW165" t="s">
        <v>108</v>
      </c>
      <c r="AZ165" t="s">
        <v>212</v>
      </c>
      <c r="BA165" t="s">
        <v>142</v>
      </c>
      <c r="BB165">
        <v>10</v>
      </c>
      <c r="BC165">
        <v>15</v>
      </c>
      <c r="BD165">
        <v>0.15</v>
      </c>
      <c r="BE165" t="s">
        <v>139</v>
      </c>
      <c r="BF165">
        <v>14</v>
      </c>
      <c r="BH165">
        <f t="shared" si="8"/>
        <v>168</v>
      </c>
      <c r="BI165">
        <v>8</v>
      </c>
      <c r="BJ165">
        <v>5</v>
      </c>
      <c r="BK165">
        <v>1</v>
      </c>
      <c r="BR165" t="s">
        <v>449</v>
      </c>
      <c r="BT165" t="s">
        <v>461</v>
      </c>
      <c r="BU165" t="s">
        <v>479</v>
      </c>
      <c r="BV165">
        <v>25.993610199999999</v>
      </c>
      <c r="BW165">
        <v>1.24305376</v>
      </c>
      <c r="BX165">
        <v>5</v>
      </c>
      <c r="BY165">
        <v>27.239616600000002</v>
      </c>
      <c r="BZ165">
        <v>1.02873415</v>
      </c>
      <c r="CA165">
        <v>5</v>
      </c>
      <c r="CB165" t="s">
        <v>113</v>
      </c>
      <c r="CC165" t="s">
        <v>451</v>
      </c>
    </row>
    <row r="166" spans="1:81" x14ac:dyDescent="0.25">
      <c r="A166" t="s">
        <v>81</v>
      </c>
      <c r="B166">
        <v>165</v>
      </c>
      <c r="C166">
        <v>32</v>
      </c>
      <c r="D166">
        <v>11</v>
      </c>
      <c r="E166">
        <v>28</v>
      </c>
      <c r="F166">
        <v>30</v>
      </c>
      <c r="G166">
        <v>76</v>
      </c>
      <c r="H166">
        <v>97</v>
      </c>
      <c r="I166" t="s">
        <v>442</v>
      </c>
      <c r="J166" t="s">
        <v>184</v>
      </c>
      <c r="L166" t="s">
        <v>478</v>
      </c>
      <c r="M166" t="s">
        <v>85</v>
      </c>
      <c r="O166" t="s">
        <v>14</v>
      </c>
      <c r="P166" t="s">
        <v>444</v>
      </c>
      <c r="Q166" t="s">
        <v>445</v>
      </c>
      <c r="R166">
        <v>1991</v>
      </c>
      <c r="S166" t="s">
        <v>446</v>
      </c>
      <c r="U166" t="s">
        <v>447</v>
      </c>
      <c r="V166" t="s">
        <v>448</v>
      </c>
      <c r="W166" t="s">
        <v>91</v>
      </c>
      <c r="X166" t="s">
        <v>126</v>
      </c>
      <c r="Y166" t="s">
        <v>190</v>
      </c>
      <c r="Z166" t="s">
        <v>191</v>
      </c>
      <c r="AA166" t="s">
        <v>239</v>
      </c>
      <c r="AB166" t="s">
        <v>240</v>
      </c>
      <c r="AC166" t="s">
        <v>241</v>
      </c>
      <c r="AD166" t="s">
        <v>132</v>
      </c>
      <c r="AE166" t="s">
        <v>133</v>
      </c>
      <c r="AF166" t="s">
        <v>100</v>
      </c>
      <c r="AG166" t="s">
        <v>102</v>
      </c>
      <c r="AH166" t="s">
        <v>102</v>
      </c>
      <c r="AI166" t="s">
        <v>134</v>
      </c>
      <c r="AJ166" t="s">
        <v>135</v>
      </c>
      <c r="AM166" t="s">
        <v>136</v>
      </c>
      <c r="AN166" t="s">
        <v>242</v>
      </c>
      <c r="AT166">
        <v>50</v>
      </c>
      <c r="AU166">
        <v>1.5</v>
      </c>
      <c r="AW166" t="s">
        <v>108</v>
      </c>
      <c r="AZ166" t="s">
        <v>212</v>
      </c>
      <c r="BA166" t="s">
        <v>142</v>
      </c>
      <c r="BB166">
        <v>15</v>
      </c>
      <c r="BC166">
        <v>20</v>
      </c>
      <c r="BD166">
        <v>0.15</v>
      </c>
      <c r="BE166" t="s">
        <v>139</v>
      </c>
      <c r="BF166">
        <v>14</v>
      </c>
      <c r="BH166">
        <f t="shared" si="8"/>
        <v>168</v>
      </c>
      <c r="BI166">
        <v>8</v>
      </c>
      <c r="BJ166">
        <v>5</v>
      </c>
      <c r="BK166">
        <v>1</v>
      </c>
      <c r="BR166" t="s">
        <v>449</v>
      </c>
      <c r="BT166" t="s">
        <v>461</v>
      </c>
      <c r="BU166" t="s">
        <v>479</v>
      </c>
      <c r="BV166">
        <v>27.239616600000002</v>
      </c>
      <c r="BW166">
        <v>1.02873415</v>
      </c>
      <c r="BX166">
        <v>5</v>
      </c>
      <c r="BY166">
        <v>27.642172500000001</v>
      </c>
      <c r="BZ166">
        <v>1.0715980700000001</v>
      </c>
      <c r="CA166">
        <v>5</v>
      </c>
      <c r="CB166" t="s">
        <v>113</v>
      </c>
      <c r="CC166" t="s">
        <v>451</v>
      </c>
    </row>
    <row r="167" spans="1:81" x14ac:dyDescent="0.25">
      <c r="A167" t="s">
        <v>81</v>
      </c>
      <c r="B167">
        <v>166</v>
      </c>
      <c r="C167">
        <v>32</v>
      </c>
      <c r="D167">
        <v>11</v>
      </c>
      <c r="E167">
        <v>28</v>
      </c>
      <c r="F167">
        <v>30</v>
      </c>
      <c r="G167">
        <v>76</v>
      </c>
      <c r="H167">
        <v>98</v>
      </c>
      <c r="I167" t="s">
        <v>442</v>
      </c>
      <c r="J167" t="s">
        <v>184</v>
      </c>
      <c r="L167" t="s">
        <v>478</v>
      </c>
      <c r="M167" t="s">
        <v>85</v>
      </c>
      <c r="O167" t="s">
        <v>14</v>
      </c>
      <c r="P167" t="s">
        <v>444</v>
      </c>
      <c r="Q167" t="s">
        <v>445</v>
      </c>
      <c r="R167">
        <v>1991</v>
      </c>
      <c r="S167" t="s">
        <v>446</v>
      </c>
      <c r="U167" t="s">
        <v>447</v>
      </c>
      <c r="V167" t="s">
        <v>448</v>
      </c>
      <c r="W167" t="s">
        <v>91</v>
      </c>
      <c r="X167" t="s">
        <v>126</v>
      </c>
      <c r="Y167" t="s">
        <v>190</v>
      </c>
      <c r="Z167" t="s">
        <v>191</v>
      </c>
      <c r="AA167" t="s">
        <v>239</v>
      </c>
      <c r="AB167" t="s">
        <v>240</v>
      </c>
      <c r="AC167" t="s">
        <v>241</v>
      </c>
      <c r="AD167" t="s">
        <v>132</v>
      </c>
      <c r="AE167" t="s">
        <v>133</v>
      </c>
      <c r="AF167" t="s">
        <v>100</v>
      </c>
      <c r="AG167" t="s">
        <v>102</v>
      </c>
      <c r="AH167" t="s">
        <v>102</v>
      </c>
      <c r="AI167" t="s">
        <v>134</v>
      </c>
      <c r="AJ167" t="s">
        <v>135</v>
      </c>
      <c r="AM167" t="s">
        <v>136</v>
      </c>
      <c r="AN167" t="s">
        <v>242</v>
      </c>
      <c r="AT167">
        <v>50</v>
      </c>
      <c r="AU167">
        <v>1.5</v>
      </c>
      <c r="AW167" t="s">
        <v>108</v>
      </c>
      <c r="AZ167" t="s">
        <v>212</v>
      </c>
      <c r="BA167" t="s">
        <v>142</v>
      </c>
      <c r="BB167">
        <v>20</v>
      </c>
      <c r="BC167">
        <v>25</v>
      </c>
      <c r="BD167">
        <v>0.15</v>
      </c>
      <c r="BE167" t="s">
        <v>139</v>
      </c>
      <c r="BF167">
        <v>14</v>
      </c>
      <c r="BH167">
        <f t="shared" si="8"/>
        <v>168</v>
      </c>
      <c r="BI167">
        <v>8</v>
      </c>
      <c r="BJ167">
        <v>5</v>
      </c>
      <c r="BK167">
        <v>1</v>
      </c>
      <c r="BR167" t="s">
        <v>449</v>
      </c>
      <c r="BT167" t="s">
        <v>461</v>
      </c>
      <c r="BU167" t="s">
        <v>479</v>
      </c>
      <c r="BV167">
        <v>27.642172500000001</v>
      </c>
      <c r="BW167">
        <v>1.0715980700000001</v>
      </c>
      <c r="BX167">
        <v>5</v>
      </c>
      <c r="BY167">
        <v>27.6613419</v>
      </c>
      <c r="BZ167">
        <v>1.5002373</v>
      </c>
      <c r="CA167">
        <v>5</v>
      </c>
      <c r="CB167" t="s">
        <v>113</v>
      </c>
      <c r="CC167" t="s">
        <v>451</v>
      </c>
    </row>
    <row r="168" spans="1:81" x14ac:dyDescent="0.25">
      <c r="A168" t="s">
        <v>81</v>
      </c>
      <c r="B168">
        <v>167</v>
      </c>
      <c r="C168">
        <v>32</v>
      </c>
      <c r="D168">
        <v>11</v>
      </c>
      <c r="E168">
        <v>28</v>
      </c>
      <c r="F168">
        <v>30</v>
      </c>
      <c r="G168">
        <v>76</v>
      </c>
      <c r="H168">
        <v>99</v>
      </c>
      <c r="I168" t="s">
        <v>442</v>
      </c>
      <c r="J168" t="s">
        <v>184</v>
      </c>
      <c r="L168" t="s">
        <v>478</v>
      </c>
      <c r="M168" t="s">
        <v>85</v>
      </c>
      <c r="O168" t="s">
        <v>14</v>
      </c>
      <c r="P168" t="s">
        <v>444</v>
      </c>
      <c r="Q168" t="s">
        <v>445</v>
      </c>
      <c r="R168">
        <v>1991</v>
      </c>
      <c r="S168" t="s">
        <v>446</v>
      </c>
      <c r="U168" t="s">
        <v>447</v>
      </c>
      <c r="V168" t="s">
        <v>448</v>
      </c>
      <c r="W168" t="s">
        <v>91</v>
      </c>
      <c r="X168" t="s">
        <v>126</v>
      </c>
      <c r="Y168" t="s">
        <v>190</v>
      </c>
      <c r="Z168" t="s">
        <v>191</v>
      </c>
      <c r="AA168" t="s">
        <v>239</v>
      </c>
      <c r="AB168" t="s">
        <v>240</v>
      </c>
      <c r="AC168" t="s">
        <v>241</v>
      </c>
      <c r="AD168" t="s">
        <v>132</v>
      </c>
      <c r="AE168" t="s">
        <v>133</v>
      </c>
      <c r="AF168" t="s">
        <v>100</v>
      </c>
      <c r="AG168" t="s">
        <v>102</v>
      </c>
      <c r="AH168" t="s">
        <v>102</v>
      </c>
      <c r="AI168" t="s">
        <v>134</v>
      </c>
      <c r="AJ168" t="s">
        <v>135</v>
      </c>
      <c r="AM168" t="s">
        <v>136</v>
      </c>
      <c r="AN168" t="s">
        <v>242</v>
      </c>
      <c r="AT168">
        <v>50</v>
      </c>
      <c r="AU168">
        <v>1.5</v>
      </c>
      <c r="AW168" t="s">
        <v>108</v>
      </c>
      <c r="AZ168" t="s">
        <v>212</v>
      </c>
      <c r="BA168" t="s">
        <v>142</v>
      </c>
      <c r="BB168">
        <v>25</v>
      </c>
      <c r="BC168">
        <v>27</v>
      </c>
      <c r="BD168">
        <v>0.15</v>
      </c>
      <c r="BE168" t="s">
        <v>139</v>
      </c>
      <c r="BF168">
        <v>14</v>
      </c>
      <c r="BH168">
        <f t="shared" si="8"/>
        <v>168</v>
      </c>
      <c r="BI168">
        <v>8</v>
      </c>
      <c r="BJ168">
        <v>5</v>
      </c>
      <c r="BK168">
        <v>1</v>
      </c>
      <c r="BR168" t="s">
        <v>449</v>
      </c>
      <c r="BT168" t="s">
        <v>461</v>
      </c>
      <c r="BU168" t="s">
        <v>479</v>
      </c>
      <c r="BV168">
        <v>27.6613419</v>
      </c>
      <c r="BW168">
        <v>1.5002373</v>
      </c>
      <c r="BX168">
        <v>5</v>
      </c>
      <c r="BY168">
        <v>27.948881799999999</v>
      </c>
      <c r="BZ168">
        <v>1.1573259199999999</v>
      </c>
      <c r="CA168">
        <v>5</v>
      </c>
      <c r="CB168" t="s">
        <v>113</v>
      </c>
      <c r="CC168" t="s">
        <v>451</v>
      </c>
    </row>
    <row r="169" spans="1:81" x14ac:dyDescent="0.25">
      <c r="A169" t="s">
        <v>81</v>
      </c>
      <c r="B169">
        <v>168</v>
      </c>
      <c r="C169">
        <v>32</v>
      </c>
      <c r="D169">
        <v>11</v>
      </c>
      <c r="E169">
        <v>28</v>
      </c>
      <c r="F169">
        <v>30</v>
      </c>
      <c r="G169">
        <v>77</v>
      </c>
      <c r="H169">
        <v>100</v>
      </c>
      <c r="I169" t="s">
        <v>442</v>
      </c>
      <c r="J169" t="s">
        <v>184</v>
      </c>
      <c r="L169" t="s">
        <v>478</v>
      </c>
      <c r="M169" t="s">
        <v>85</v>
      </c>
      <c r="O169" t="s">
        <v>14</v>
      </c>
      <c r="P169" t="s">
        <v>444</v>
      </c>
      <c r="Q169" t="s">
        <v>445</v>
      </c>
      <c r="R169">
        <v>1991</v>
      </c>
      <c r="S169" t="s">
        <v>446</v>
      </c>
      <c r="U169" t="s">
        <v>447</v>
      </c>
      <c r="V169" t="s">
        <v>448</v>
      </c>
      <c r="W169" t="s">
        <v>91</v>
      </c>
      <c r="X169" t="s">
        <v>126</v>
      </c>
      <c r="Y169" t="s">
        <v>190</v>
      </c>
      <c r="Z169" t="s">
        <v>191</v>
      </c>
      <c r="AA169" t="s">
        <v>239</v>
      </c>
      <c r="AB169" t="s">
        <v>240</v>
      </c>
      <c r="AC169" t="s">
        <v>241</v>
      </c>
      <c r="AD169" t="s">
        <v>132</v>
      </c>
      <c r="AE169" t="s">
        <v>133</v>
      </c>
      <c r="AF169" t="s">
        <v>100</v>
      </c>
      <c r="AG169" t="s">
        <v>102</v>
      </c>
      <c r="AH169" t="s">
        <v>102</v>
      </c>
      <c r="AI169" t="s">
        <v>134</v>
      </c>
      <c r="AJ169" t="s">
        <v>135</v>
      </c>
      <c r="AM169" t="s">
        <v>136</v>
      </c>
      <c r="AN169" t="s">
        <v>242</v>
      </c>
      <c r="AT169">
        <v>100</v>
      </c>
      <c r="AU169">
        <v>11</v>
      </c>
      <c r="AW169" t="s">
        <v>108</v>
      </c>
      <c r="AZ169" t="s">
        <v>212</v>
      </c>
      <c r="BA169" t="s">
        <v>142</v>
      </c>
      <c r="BB169">
        <v>5</v>
      </c>
      <c r="BC169">
        <v>10</v>
      </c>
      <c r="BD169">
        <v>0.15</v>
      </c>
      <c r="BE169" t="s">
        <v>139</v>
      </c>
      <c r="BF169">
        <v>14</v>
      </c>
      <c r="BH169">
        <f t="shared" si="8"/>
        <v>168</v>
      </c>
      <c r="BI169">
        <v>8</v>
      </c>
      <c r="BJ169">
        <v>5</v>
      </c>
      <c r="BK169">
        <v>1</v>
      </c>
      <c r="BR169" t="s">
        <v>449</v>
      </c>
      <c r="BT169" t="s">
        <v>461</v>
      </c>
      <c r="BU169" t="s">
        <v>480</v>
      </c>
      <c r="BV169">
        <v>25.648562299999998</v>
      </c>
      <c r="BW169">
        <v>1.58596515</v>
      </c>
      <c r="BX169">
        <v>5</v>
      </c>
      <c r="BY169">
        <v>25.571885000000002</v>
      </c>
      <c r="BZ169">
        <v>0.64295884000000003</v>
      </c>
      <c r="CA169">
        <v>5</v>
      </c>
      <c r="CB169" t="s">
        <v>113</v>
      </c>
      <c r="CC169" t="s">
        <v>451</v>
      </c>
    </row>
    <row r="170" spans="1:81" x14ac:dyDescent="0.25">
      <c r="A170" t="s">
        <v>81</v>
      </c>
      <c r="B170">
        <v>169</v>
      </c>
      <c r="C170">
        <v>32</v>
      </c>
      <c r="D170">
        <v>11</v>
      </c>
      <c r="E170">
        <v>28</v>
      </c>
      <c r="F170">
        <v>30</v>
      </c>
      <c r="G170">
        <v>77</v>
      </c>
      <c r="H170">
        <v>101</v>
      </c>
      <c r="I170" t="s">
        <v>442</v>
      </c>
      <c r="J170" t="s">
        <v>184</v>
      </c>
      <c r="L170" t="s">
        <v>478</v>
      </c>
      <c r="M170" t="s">
        <v>85</v>
      </c>
      <c r="O170" t="s">
        <v>14</v>
      </c>
      <c r="P170" t="s">
        <v>444</v>
      </c>
      <c r="Q170" t="s">
        <v>445</v>
      </c>
      <c r="R170">
        <v>1991</v>
      </c>
      <c r="S170" t="s">
        <v>446</v>
      </c>
      <c r="U170" t="s">
        <v>447</v>
      </c>
      <c r="V170" t="s">
        <v>448</v>
      </c>
      <c r="W170" t="s">
        <v>91</v>
      </c>
      <c r="X170" t="s">
        <v>126</v>
      </c>
      <c r="Y170" t="s">
        <v>190</v>
      </c>
      <c r="Z170" t="s">
        <v>191</v>
      </c>
      <c r="AA170" t="s">
        <v>239</v>
      </c>
      <c r="AB170" t="s">
        <v>240</v>
      </c>
      <c r="AC170" t="s">
        <v>241</v>
      </c>
      <c r="AD170" t="s">
        <v>132</v>
      </c>
      <c r="AE170" t="s">
        <v>133</v>
      </c>
      <c r="AF170" t="s">
        <v>100</v>
      </c>
      <c r="AG170" t="s">
        <v>102</v>
      </c>
      <c r="AH170" t="s">
        <v>102</v>
      </c>
      <c r="AI170" t="s">
        <v>134</v>
      </c>
      <c r="AJ170" t="s">
        <v>135</v>
      </c>
      <c r="AM170" t="s">
        <v>136</v>
      </c>
      <c r="AN170" t="s">
        <v>242</v>
      </c>
      <c r="AT170">
        <v>100</v>
      </c>
      <c r="AU170">
        <v>11</v>
      </c>
      <c r="AW170" t="s">
        <v>108</v>
      </c>
      <c r="AZ170" t="s">
        <v>212</v>
      </c>
      <c r="BA170" t="s">
        <v>142</v>
      </c>
      <c r="BB170">
        <v>10</v>
      </c>
      <c r="BC170">
        <v>15</v>
      </c>
      <c r="BD170">
        <v>0.15</v>
      </c>
      <c r="BE170" t="s">
        <v>139</v>
      </c>
      <c r="BF170">
        <v>14</v>
      </c>
      <c r="BH170">
        <f t="shared" si="8"/>
        <v>168</v>
      </c>
      <c r="BI170">
        <v>8</v>
      </c>
      <c r="BJ170">
        <v>5</v>
      </c>
      <c r="BK170">
        <v>1</v>
      </c>
      <c r="BR170" t="s">
        <v>449</v>
      </c>
      <c r="BT170" t="s">
        <v>461</v>
      </c>
      <c r="BU170" t="s">
        <v>480</v>
      </c>
      <c r="BV170">
        <v>25.571885000000002</v>
      </c>
      <c r="BW170">
        <v>0.64295884000000003</v>
      </c>
      <c r="BX170">
        <v>5</v>
      </c>
      <c r="BY170">
        <v>27.565495200000001</v>
      </c>
      <c r="BZ170">
        <v>0.85727845999999996</v>
      </c>
      <c r="CA170">
        <v>5</v>
      </c>
      <c r="CB170" t="s">
        <v>113</v>
      </c>
      <c r="CC170" t="s">
        <v>451</v>
      </c>
    </row>
    <row r="171" spans="1:81" x14ac:dyDescent="0.25">
      <c r="A171" t="s">
        <v>81</v>
      </c>
      <c r="B171">
        <v>170</v>
      </c>
      <c r="C171">
        <v>32</v>
      </c>
      <c r="D171">
        <v>11</v>
      </c>
      <c r="E171">
        <v>28</v>
      </c>
      <c r="F171">
        <v>30</v>
      </c>
      <c r="G171">
        <v>77</v>
      </c>
      <c r="H171">
        <v>102</v>
      </c>
      <c r="I171" t="s">
        <v>442</v>
      </c>
      <c r="J171" t="s">
        <v>184</v>
      </c>
      <c r="L171" t="s">
        <v>478</v>
      </c>
      <c r="M171" t="s">
        <v>85</v>
      </c>
      <c r="O171" t="s">
        <v>14</v>
      </c>
      <c r="P171" t="s">
        <v>444</v>
      </c>
      <c r="Q171" t="s">
        <v>445</v>
      </c>
      <c r="R171">
        <v>1991</v>
      </c>
      <c r="S171" t="s">
        <v>446</v>
      </c>
      <c r="U171" t="s">
        <v>447</v>
      </c>
      <c r="V171" t="s">
        <v>448</v>
      </c>
      <c r="W171" t="s">
        <v>91</v>
      </c>
      <c r="X171" t="s">
        <v>126</v>
      </c>
      <c r="Y171" t="s">
        <v>190</v>
      </c>
      <c r="Z171" t="s">
        <v>191</v>
      </c>
      <c r="AA171" t="s">
        <v>239</v>
      </c>
      <c r="AB171" t="s">
        <v>240</v>
      </c>
      <c r="AC171" t="s">
        <v>241</v>
      </c>
      <c r="AD171" t="s">
        <v>132</v>
      </c>
      <c r="AE171" t="s">
        <v>133</v>
      </c>
      <c r="AF171" t="s">
        <v>100</v>
      </c>
      <c r="AG171" t="s">
        <v>102</v>
      </c>
      <c r="AH171" t="s">
        <v>102</v>
      </c>
      <c r="AI171" t="s">
        <v>134</v>
      </c>
      <c r="AJ171" t="s">
        <v>135</v>
      </c>
      <c r="AM171" t="s">
        <v>136</v>
      </c>
      <c r="AN171" t="s">
        <v>242</v>
      </c>
      <c r="AT171">
        <v>100</v>
      </c>
      <c r="AU171">
        <v>11</v>
      </c>
      <c r="AW171" t="s">
        <v>108</v>
      </c>
      <c r="AZ171" t="s">
        <v>212</v>
      </c>
      <c r="BA171" t="s">
        <v>142</v>
      </c>
      <c r="BB171">
        <v>15</v>
      </c>
      <c r="BC171">
        <v>20</v>
      </c>
      <c r="BD171">
        <v>0.15</v>
      </c>
      <c r="BE171" t="s">
        <v>139</v>
      </c>
      <c r="BF171">
        <v>14</v>
      </c>
      <c r="BH171">
        <f t="shared" si="8"/>
        <v>168</v>
      </c>
      <c r="BI171">
        <v>8</v>
      </c>
      <c r="BJ171">
        <v>5</v>
      </c>
      <c r="BK171">
        <v>1</v>
      </c>
      <c r="BR171" t="s">
        <v>449</v>
      </c>
      <c r="BT171" t="s">
        <v>461</v>
      </c>
      <c r="BU171" t="s">
        <v>480</v>
      </c>
      <c r="BV171">
        <v>27.565495200000001</v>
      </c>
      <c r="BW171">
        <v>0.85727845999999996</v>
      </c>
      <c r="BX171">
        <v>5</v>
      </c>
      <c r="BY171">
        <v>28.006389800000001</v>
      </c>
      <c r="BZ171">
        <v>1.5002373</v>
      </c>
      <c r="CA171">
        <v>5</v>
      </c>
      <c r="CB171" t="s">
        <v>113</v>
      </c>
      <c r="CC171" t="s">
        <v>451</v>
      </c>
    </row>
    <row r="172" spans="1:81" x14ac:dyDescent="0.25">
      <c r="A172" t="s">
        <v>81</v>
      </c>
      <c r="B172">
        <v>171</v>
      </c>
      <c r="C172">
        <v>32</v>
      </c>
      <c r="D172">
        <v>11</v>
      </c>
      <c r="E172">
        <v>28</v>
      </c>
      <c r="F172">
        <v>30</v>
      </c>
      <c r="G172">
        <v>77</v>
      </c>
      <c r="H172">
        <v>103</v>
      </c>
      <c r="I172" t="s">
        <v>442</v>
      </c>
      <c r="J172" t="s">
        <v>184</v>
      </c>
      <c r="L172" t="s">
        <v>478</v>
      </c>
      <c r="M172" t="s">
        <v>85</v>
      </c>
      <c r="O172" t="s">
        <v>14</v>
      </c>
      <c r="P172" t="s">
        <v>444</v>
      </c>
      <c r="Q172" t="s">
        <v>445</v>
      </c>
      <c r="R172">
        <v>1991</v>
      </c>
      <c r="S172" t="s">
        <v>446</v>
      </c>
      <c r="U172" t="s">
        <v>447</v>
      </c>
      <c r="V172" t="s">
        <v>448</v>
      </c>
      <c r="W172" t="s">
        <v>91</v>
      </c>
      <c r="X172" t="s">
        <v>126</v>
      </c>
      <c r="Y172" t="s">
        <v>190</v>
      </c>
      <c r="Z172" t="s">
        <v>191</v>
      </c>
      <c r="AA172" t="s">
        <v>239</v>
      </c>
      <c r="AB172" t="s">
        <v>240</v>
      </c>
      <c r="AC172" t="s">
        <v>241</v>
      </c>
      <c r="AD172" t="s">
        <v>132</v>
      </c>
      <c r="AE172" t="s">
        <v>133</v>
      </c>
      <c r="AF172" t="s">
        <v>100</v>
      </c>
      <c r="AG172" t="s">
        <v>102</v>
      </c>
      <c r="AH172" t="s">
        <v>102</v>
      </c>
      <c r="AI172" t="s">
        <v>134</v>
      </c>
      <c r="AJ172" t="s">
        <v>135</v>
      </c>
      <c r="AM172" t="s">
        <v>136</v>
      </c>
      <c r="AN172" t="s">
        <v>242</v>
      </c>
      <c r="AT172">
        <v>100</v>
      </c>
      <c r="AU172">
        <v>11</v>
      </c>
      <c r="AW172" t="s">
        <v>108</v>
      </c>
      <c r="AZ172" t="s">
        <v>212</v>
      </c>
      <c r="BA172" t="s">
        <v>142</v>
      </c>
      <c r="BB172">
        <v>20</v>
      </c>
      <c r="BC172">
        <v>25</v>
      </c>
      <c r="BD172">
        <v>0.15</v>
      </c>
      <c r="BE172" t="s">
        <v>139</v>
      </c>
      <c r="BF172">
        <v>14</v>
      </c>
      <c r="BH172">
        <f t="shared" si="8"/>
        <v>168</v>
      </c>
      <c r="BI172">
        <v>8</v>
      </c>
      <c r="BJ172">
        <v>5</v>
      </c>
      <c r="BK172">
        <v>1</v>
      </c>
      <c r="BR172" t="s">
        <v>449</v>
      </c>
      <c r="BT172" t="s">
        <v>461</v>
      </c>
      <c r="BU172" t="s">
        <v>480</v>
      </c>
      <c r="BV172">
        <v>28.006389800000001</v>
      </c>
      <c r="BW172">
        <v>1.5002373</v>
      </c>
      <c r="BX172">
        <v>5</v>
      </c>
      <c r="BY172">
        <v>27.584664499999999</v>
      </c>
      <c r="BZ172">
        <v>0.81441452999999997</v>
      </c>
      <c r="CA172">
        <v>5</v>
      </c>
      <c r="CB172" t="s">
        <v>113</v>
      </c>
      <c r="CC172" t="s">
        <v>451</v>
      </c>
    </row>
    <row r="173" spans="1:81" x14ac:dyDescent="0.25">
      <c r="A173" t="s">
        <v>81</v>
      </c>
      <c r="B173">
        <v>172</v>
      </c>
      <c r="C173">
        <v>32</v>
      </c>
      <c r="D173">
        <v>11</v>
      </c>
      <c r="E173">
        <v>28</v>
      </c>
      <c r="F173">
        <v>30</v>
      </c>
      <c r="G173">
        <v>77</v>
      </c>
      <c r="H173">
        <v>104</v>
      </c>
      <c r="I173" t="s">
        <v>442</v>
      </c>
      <c r="J173" t="s">
        <v>184</v>
      </c>
      <c r="L173" t="s">
        <v>478</v>
      </c>
      <c r="M173" t="s">
        <v>85</v>
      </c>
      <c r="O173" t="s">
        <v>14</v>
      </c>
      <c r="P173" t="s">
        <v>444</v>
      </c>
      <c r="Q173" t="s">
        <v>445</v>
      </c>
      <c r="R173">
        <v>1991</v>
      </c>
      <c r="S173" t="s">
        <v>446</v>
      </c>
      <c r="U173" t="s">
        <v>447</v>
      </c>
      <c r="V173" t="s">
        <v>448</v>
      </c>
      <c r="W173" t="s">
        <v>91</v>
      </c>
      <c r="X173" t="s">
        <v>126</v>
      </c>
      <c r="Y173" t="s">
        <v>190</v>
      </c>
      <c r="Z173" t="s">
        <v>191</v>
      </c>
      <c r="AA173" t="s">
        <v>239</v>
      </c>
      <c r="AB173" t="s">
        <v>240</v>
      </c>
      <c r="AC173" t="s">
        <v>241</v>
      </c>
      <c r="AD173" t="s">
        <v>132</v>
      </c>
      <c r="AE173" t="s">
        <v>133</v>
      </c>
      <c r="AF173" t="s">
        <v>100</v>
      </c>
      <c r="AG173" t="s">
        <v>102</v>
      </c>
      <c r="AH173" t="s">
        <v>102</v>
      </c>
      <c r="AI173" t="s">
        <v>134</v>
      </c>
      <c r="AJ173" t="s">
        <v>135</v>
      </c>
      <c r="AM173" t="s">
        <v>136</v>
      </c>
      <c r="AN173" t="s">
        <v>242</v>
      </c>
      <c r="AT173">
        <v>100</v>
      </c>
      <c r="AU173">
        <v>11</v>
      </c>
      <c r="AW173" t="s">
        <v>108</v>
      </c>
      <c r="AZ173" t="s">
        <v>212</v>
      </c>
      <c r="BA173" t="s">
        <v>142</v>
      </c>
      <c r="BB173">
        <v>25</v>
      </c>
      <c r="BC173">
        <v>27</v>
      </c>
      <c r="BD173">
        <v>0.15</v>
      </c>
      <c r="BE173" t="s">
        <v>139</v>
      </c>
      <c r="BF173">
        <v>14</v>
      </c>
      <c r="BH173">
        <f t="shared" si="8"/>
        <v>168</v>
      </c>
      <c r="BI173">
        <v>8</v>
      </c>
      <c r="BJ173">
        <v>5</v>
      </c>
      <c r="BK173">
        <v>1</v>
      </c>
      <c r="BR173" t="s">
        <v>449</v>
      </c>
      <c r="BT173" t="s">
        <v>461</v>
      </c>
      <c r="BU173" t="s">
        <v>480</v>
      </c>
      <c r="BV173">
        <v>27.584664499999999</v>
      </c>
      <c r="BW173">
        <v>0.81441452999999997</v>
      </c>
      <c r="BX173">
        <v>5</v>
      </c>
      <c r="BY173">
        <v>27.546325899999999</v>
      </c>
      <c r="BZ173">
        <v>0.81441452999999997</v>
      </c>
      <c r="CA173">
        <v>5</v>
      </c>
      <c r="CB173" t="s">
        <v>113</v>
      </c>
      <c r="CC173" t="s">
        <v>451</v>
      </c>
    </row>
    <row r="174" spans="1:81" x14ac:dyDescent="0.25">
      <c r="A174" t="s">
        <v>81</v>
      </c>
      <c r="B174">
        <v>173</v>
      </c>
      <c r="C174">
        <v>32</v>
      </c>
      <c r="D174">
        <v>11</v>
      </c>
      <c r="E174">
        <v>29</v>
      </c>
      <c r="F174">
        <v>31</v>
      </c>
      <c r="G174">
        <v>78</v>
      </c>
      <c r="H174">
        <v>105</v>
      </c>
      <c r="I174" t="s">
        <v>442</v>
      </c>
      <c r="J174" t="s">
        <v>184</v>
      </c>
      <c r="L174" t="s">
        <v>478</v>
      </c>
      <c r="M174" t="s">
        <v>85</v>
      </c>
      <c r="O174" t="s">
        <v>14</v>
      </c>
      <c r="P174" t="s">
        <v>444</v>
      </c>
      <c r="Q174" t="s">
        <v>445</v>
      </c>
      <c r="R174">
        <v>1991</v>
      </c>
      <c r="S174" t="s">
        <v>446</v>
      </c>
      <c r="U174" t="s">
        <v>447</v>
      </c>
      <c r="V174" t="s">
        <v>448</v>
      </c>
      <c r="W174" t="s">
        <v>91</v>
      </c>
      <c r="X174" t="s">
        <v>126</v>
      </c>
      <c r="Y174" t="s">
        <v>190</v>
      </c>
      <c r="Z174" t="s">
        <v>191</v>
      </c>
      <c r="AA174" t="s">
        <v>239</v>
      </c>
      <c r="AB174" t="s">
        <v>240</v>
      </c>
      <c r="AC174" t="s">
        <v>241</v>
      </c>
      <c r="AD174" t="s">
        <v>132</v>
      </c>
      <c r="AE174" t="s">
        <v>133</v>
      </c>
      <c r="AF174" t="s">
        <v>100</v>
      </c>
      <c r="AG174" t="s">
        <v>102</v>
      </c>
      <c r="AH174" t="s">
        <v>102</v>
      </c>
      <c r="AI174" t="s">
        <v>134</v>
      </c>
      <c r="AJ174" t="s">
        <v>135</v>
      </c>
      <c r="AM174" t="s">
        <v>136</v>
      </c>
      <c r="AN174" t="s">
        <v>242</v>
      </c>
      <c r="AT174">
        <v>60</v>
      </c>
      <c r="AU174">
        <v>1.9</v>
      </c>
      <c r="AW174" t="s">
        <v>108</v>
      </c>
      <c r="AZ174" t="s">
        <v>212</v>
      </c>
      <c r="BA174" t="s">
        <v>142</v>
      </c>
      <c r="BB174">
        <v>5</v>
      </c>
      <c r="BC174">
        <v>10</v>
      </c>
      <c r="BD174">
        <v>0.15</v>
      </c>
      <c r="BE174" t="s">
        <v>139</v>
      </c>
      <c r="BF174">
        <v>14</v>
      </c>
      <c r="BH174">
        <f t="shared" si="8"/>
        <v>168</v>
      </c>
      <c r="BI174">
        <v>8</v>
      </c>
      <c r="BJ174">
        <v>3</v>
      </c>
      <c r="BK174">
        <v>1</v>
      </c>
      <c r="BR174" t="s">
        <v>449</v>
      </c>
      <c r="BT174" t="s">
        <v>481</v>
      </c>
      <c r="BU174" t="s">
        <v>482</v>
      </c>
      <c r="BV174">
        <v>24.6709265</v>
      </c>
      <c r="BW174">
        <v>1.0624720599999999</v>
      </c>
      <c r="BX174">
        <v>3</v>
      </c>
      <c r="BY174">
        <v>26.127795500000001</v>
      </c>
      <c r="BZ174" t="s">
        <v>454</v>
      </c>
      <c r="CA174">
        <v>3</v>
      </c>
      <c r="CB174" t="s">
        <v>113</v>
      </c>
      <c r="CC174" t="s">
        <v>483</v>
      </c>
    </row>
    <row r="175" spans="1:81" x14ac:dyDescent="0.25">
      <c r="A175" t="s">
        <v>81</v>
      </c>
      <c r="B175">
        <v>174</v>
      </c>
      <c r="C175">
        <v>32</v>
      </c>
      <c r="D175">
        <v>11</v>
      </c>
      <c r="E175">
        <v>29</v>
      </c>
      <c r="F175">
        <v>31</v>
      </c>
      <c r="G175">
        <v>78</v>
      </c>
      <c r="H175">
        <v>106</v>
      </c>
      <c r="I175" t="s">
        <v>442</v>
      </c>
      <c r="J175" t="s">
        <v>184</v>
      </c>
      <c r="L175" t="s">
        <v>478</v>
      </c>
      <c r="M175" t="s">
        <v>85</v>
      </c>
      <c r="O175" t="s">
        <v>14</v>
      </c>
      <c r="P175" t="s">
        <v>444</v>
      </c>
      <c r="Q175" t="s">
        <v>445</v>
      </c>
      <c r="R175">
        <v>1991</v>
      </c>
      <c r="S175" t="s">
        <v>446</v>
      </c>
      <c r="U175" t="s">
        <v>447</v>
      </c>
      <c r="V175" t="s">
        <v>448</v>
      </c>
      <c r="W175" t="s">
        <v>91</v>
      </c>
      <c r="X175" t="s">
        <v>126</v>
      </c>
      <c r="Y175" t="s">
        <v>190</v>
      </c>
      <c r="Z175" t="s">
        <v>191</v>
      </c>
      <c r="AA175" t="s">
        <v>239</v>
      </c>
      <c r="AB175" t="s">
        <v>240</v>
      </c>
      <c r="AC175" t="s">
        <v>241</v>
      </c>
      <c r="AD175" t="s">
        <v>132</v>
      </c>
      <c r="AE175" t="s">
        <v>133</v>
      </c>
      <c r="AF175" t="s">
        <v>100</v>
      </c>
      <c r="AG175" t="s">
        <v>102</v>
      </c>
      <c r="AH175" t="s">
        <v>102</v>
      </c>
      <c r="AI175" t="s">
        <v>134</v>
      </c>
      <c r="AJ175" t="s">
        <v>135</v>
      </c>
      <c r="AM175" t="s">
        <v>136</v>
      </c>
      <c r="AN175" t="s">
        <v>242</v>
      </c>
      <c r="AT175">
        <v>60</v>
      </c>
      <c r="AU175">
        <v>1.9</v>
      </c>
      <c r="AW175" t="s">
        <v>108</v>
      </c>
      <c r="AZ175" t="s">
        <v>212</v>
      </c>
      <c r="BA175" t="s">
        <v>142</v>
      </c>
      <c r="BB175">
        <v>10</v>
      </c>
      <c r="BC175">
        <v>15</v>
      </c>
      <c r="BD175">
        <v>0.15</v>
      </c>
      <c r="BE175" t="s">
        <v>139</v>
      </c>
      <c r="BF175">
        <v>14</v>
      </c>
      <c r="BH175">
        <f t="shared" si="8"/>
        <v>168</v>
      </c>
      <c r="BI175">
        <v>8</v>
      </c>
      <c r="BJ175">
        <v>3</v>
      </c>
      <c r="BK175">
        <v>1</v>
      </c>
      <c r="BR175" t="s">
        <v>449</v>
      </c>
      <c r="BT175" t="s">
        <v>484</v>
      </c>
      <c r="BU175" t="s">
        <v>482</v>
      </c>
      <c r="BV175">
        <v>26.127795500000001</v>
      </c>
      <c r="BW175" t="s">
        <v>454</v>
      </c>
      <c r="BX175">
        <v>3</v>
      </c>
      <c r="BY175">
        <v>27.872204499999999</v>
      </c>
      <c r="BZ175" t="s">
        <v>454</v>
      </c>
      <c r="CA175">
        <v>3</v>
      </c>
      <c r="CB175" t="s">
        <v>113</v>
      </c>
      <c r="CC175" t="s">
        <v>485</v>
      </c>
    </row>
    <row r="176" spans="1:81" x14ac:dyDescent="0.25">
      <c r="A176" t="s">
        <v>81</v>
      </c>
      <c r="B176">
        <v>175</v>
      </c>
      <c r="C176">
        <v>32</v>
      </c>
      <c r="D176">
        <v>11</v>
      </c>
      <c r="E176">
        <v>29</v>
      </c>
      <c r="F176">
        <v>31</v>
      </c>
      <c r="G176">
        <v>78</v>
      </c>
      <c r="H176">
        <v>107</v>
      </c>
      <c r="I176" t="s">
        <v>442</v>
      </c>
      <c r="J176" t="s">
        <v>184</v>
      </c>
      <c r="L176" t="s">
        <v>478</v>
      </c>
      <c r="M176" t="s">
        <v>85</v>
      </c>
      <c r="O176" t="s">
        <v>14</v>
      </c>
      <c r="P176" t="s">
        <v>444</v>
      </c>
      <c r="Q176" t="s">
        <v>445</v>
      </c>
      <c r="R176">
        <v>1991</v>
      </c>
      <c r="S176" t="s">
        <v>446</v>
      </c>
      <c r="U176" t="s">
        <v>447</v>
      </c>
      <c r="V176" t="s">
        <v>448</v>
      </c>
      <c r="W176" t="s">
        <v>91</v>
      </c>
      <c r="X176" t="s">
        <v>126</v>
      </c>
      <c r="Y176" t="s">
        <v>190</v>
      </c>
      <c r="Z176" t="s">
        <v>191</v>
      </c>
      <c r="AA176" t="s">
        <v>239</v>
      </c>
      <c r="AB176" t="s">
        <v>240</v>
      </c>
      <c r="AC176" t="s">
        <v>241</v>
      </c>
      <c r="AD176" t="s">
        <v>132</v>
      </c>
      <c r="AE176" t="s">
        <v>133</v>
      </c>
      <c r="AF176" t="s">
        <v>100</v>
      </c>
      <c r="AG176" t="s">
        <v>102</v>
      </c>
      <c r="AH176" t="s">
        <v>102</v>
      </c>
      <c r="AI176" t="s">
        <v>134</v>
      </c>
      <c r="AJ176" t="s">
        <v>135</v>
      </c>
      <c r="AM176" t="s">
        <v>136</v>
      </c>
      <c r="AN176" t="s">
        <v>242</v>
      </c>
      <c r="AT176">
        <v>60</v>
      </c>
      <c r="AU176">
        <v>1.9</v>
      </c>
      <c r="AW176" t="s">
        <v>108</v>
      </c>
      <c r="AZ176" t="s">
        <v>212</v>
      </c>
      <c r="BA176" t="s">
        <v>142</v>
      </c>
      <c r="BB176">
        <v>15</v>
      </c>
      <c r="BC176">
        <v>20</v>
      </c>
      <c r="BD176">
        <v>0.15</v>
      </c>
      <c r="BE176" t="s">
        <v>139</v>
      </c>
      <c r="BF176">
        <v>14</v>
      </c>
      <c r="BH176">
        <f t="shared" si="8"/>
        <v>168</v>
      </c>
      <c r="BI176">
        <v>8</v>
      </c>
      <c r="BJ176">
        <v>3</v>
      </c>
      <c r="BK176">
        <v>1</v>
      </c>
      <c r="BR176" t="s">
        <v>449</v>
      </c>
      <c r="BT176" t="s">
        <v>486</v>
      </c>
      <c r="BU176" t="s">
        <v>482</v>
      </c>
      <c r="BV176">
        <v>27.872204499999999</v>
      </c>
      <c r="BW176" t="s">
        <v>454</v>
      </c>
      <c r="BX176">
        <v>3</v>
      </c>
      <c r="BY176">
        <v>27.258785899999999</v>
      </c>
      <c r="BZ176">
        <v>1.29488782</v>
      </c>
      <c r="CA176">
        <v>3</v>
      </c>
      <c r="CB176" t="s">
        <v>113</v>
      </c>
      <c r="CC176" t="s">
        <v>459</v>
      </c>
    </row>
    <row r="177" spans="1:81" x14ac:dyDescent="0.25">
      <c r="A177" t="s">
        <v>81</v>
      </c>
      <c r="B177">
        <v>176</v>
      </c>
      <c r="C177">
        <v>32</v>
      </c>
      <c r="D177">
        <v>11</v>
      </c>
      <c r="E177">
        <v>29</v>
      </c>
      <c r="F177">
        <v>31</v>
      </c>
      <c r="G177">
        <v>78</v>
      </c>
      <c r="H177">
        <v>108</v>
      </c>
      <c r="I177" t="s">
        <v>442</v>
      </c>
      <c r="J177" t="s">
        <v>184</v>
      </c>
      <c r="L177" t="s">
        <v>478</v>
      </c>
      <c r="M177" t="s">
        <v>85</v>
      </c>
      <c r="O177" t="s">
        <v>14</v>
      </c>
      <c r="P177" t="s">
        <v>444</v>
      </c>
      <c r="Q177" t="s">
        <v>445</v>
      </c>
      <c r="R177">
        <v>1991</v>
      </c>
      <c r="S177" t="s">
        <v>446</v>
      </c>
      <c r="U177" t="s">
        <v>447</v>
      </c>
      <c r="V177" t="s">
        <v>448</v>
      </c>
      <c r="W177" t="s">
        <v>91</v>
      </c>
      <c r="X177" t="s">
        <v>126</v>
      </c>
      <c r="Y177" t="s">
        <v>190</v>
      </c>
      <c r="Z177" t="s">
        <v>191</v>
      </c>
      <c r="AA177" t="s">
        <v>239</v>
      </c>
      <c r="AB177" t="s">
        <v>240</v>
      </c>
      <c r="AC177" t="s">
        <v>241</v>
      </c>
      <c r="AD177" t="s">
        <v>132</v>
      </c>
      <c r="AE177" t="s">
        <v>133</v>
      </c>
      <c r="AF177" t="s">
        <v>100</v>
      </c>
      <c r="AG177" t="s">
        <v>102</v>
      </c>
      <c r="AH177" t="s">
        <v>102</v>
      </c>
      <c r="AI177" t="s">
        <v>134</v>
      </c>
      <c r="AJ177" t="s">
        <v>135</v>
      </c>
      <c r="AM177" t="s">
        <v>136</v>
      </c>
      <c r="AN177" t="s">
        <v>242</v>
      </c>
      <c r="AT177">
        <v>60</v>
      </c>
      <c r="AU177">
        <v>1.9</v>
      </c>
      <c r="AW177" t="s">
        <v>108</v>
      </c>
      <c r="AZ177" t="s">
        <v>212</v>
      </c>
      <c r="BA177" t="s">
        <v>142</v>
      </c>
      <c r="BB177">
        <v>20</v>
      </c>
      <c r="BC177">
        <v>25</v>
      </c>
      <c r="BD177">
        <v>0.15</v>
      </c>
      <c r="BE177" t="s">
        <v>139</v>
      </c>
      <c r="BF177">
        <v>14</v>
      </c>
      <c r="BH177">
        <f t="shared" si="8"/>
        <v>168</v>
      </c>
      <c r="BI177">
        <v>8</v>
      </c>
      <c r="BJ177">
        <v>3</v>
      </c>
      <c r="BK177">
        <v>1</v>
      </c>
      <c r="BR177" t="s">
        <v>449</v>
      </c>
      <c r="BT177" t="s">
        <v>487</v>
      </c>
      <c r="BU177" t="s">
        <v>482</v>
      </c>
      <c r="BV177">
        <v>27.258785899999999</v>
      </c>
      <c r="BW177">
        <v>1.29488782</v>
      </c>
      <c r="BX177">
        <v>3</v>
      </c>
      <c r="BY177">
        <v>27.929712500000001</v>
      </c>
      <c r="BZ177" t="s">
        <v>454</v>
      </c>
      <c r="CA177">
        <v>3</v>
      </c>
      <c r="CB177" t="s">
        <v>113</v>
      </c>
      <c r="CC177" t="s">
        <v>469</v>
      </c>
    </row>
    <row r="178" spans="1:81" x14ac:dyDescent="0.25">
      <c r="A178" t="s">
        <v>81</v>
      </c>
      <c r="B178">
        <v>177</v>
      </c>
      <c r="C178">
        <v>32</v>
      </c>
      <c r="D178">
        <v>11</v>
      </c>
      <c r="E178">
        <v>29</v>
      </c>
      <c r="F178">
        <v>31</v>
      </c>
      <c r="G178">
        <v>78</v>
      </c>
      <c r="H178">
        <v>109</v>
      </c>
      <c r="I178" t="s">
        <v>442</v>
      </c>
      <c r="J178" t="s">
        <v>184</v>
      </c>
      <c r="L178" t="s">
        <v>478</v>
      </c>
      <c r="M178" t="s">
        <v>85</v>
      </c>
      <c r="O178" t="s">
        <v>14</v>
      </c>
      <c r="P178" t="s">
        <v>444</v>
      </c>
      <c r="Q178" t="s">
        <v>445</v>
      </c>
      <c r="R178">
        <v>1991</v>
      </c>
      <c r="S178" t="s">
        <v>446</v>
      </c>
      <c r="U178" t="s">
        <v>447</v>
      </c>
      <c r="V178" t="s">
        <v>448</v>
      </c>
      <c r="W178" t="s">
        <v>91</v>
      </c>
      <c r="X178" t="s">
        <v>126</v>
      </c>
      <c r="Y178" t="s">
        <v>190</v>
      </c>
      <c r="Z178" t="s">
        <v>191</v>
      </c>
      <c r="AA178" t="s">
        <v>239</v>
      </c>
      <c r="AB178" t="s">
        <v>240</v>
      </c>
      <c r="AC178" t="s">
        <v>241</v>
      </c>
      <c r="AD178" t="s">
        <v>132</v>
      </c>
      <c r="AE178" t="s">
        <v>133</v>
      </c>
      <c r="AF178" t="s">
        <v>100</v>
      </c>
      <c r="AG178" t="s">
        <v>102</v>
      </c>
      <c r="AH178" t="s">
        <v>102</v>
      </c>
      <c r="AI178" t="s">
        <v>134</v>
      </c>
      <c r="AJ178" t="s">
        <v>135</v>
      </c>
      <c r="AM178" t="s">
        <v>136</v>
      </c>
      <c r="AN178" t="s">
        <v>242</v>
      </c>
      <c r="AT178">
        <v>60</v>
      </c>
      <c r="AU178">
        <v>1.9</v>
      </c>
      <c r="AW178" t="s">
        <v>108</v>
      </c>
      <c r="AZ178" t="s">
        <v>212</v>
      </c>
      <c r="BA178" t="s">
        <v>142</v>
      </c>
      <c r="BB178">
        <v>25</v>
      </c>
      <c r="BC178">
        <v>27</v>
      </c>
      <c r="BD178">
        <v>0.15</v>
      </c>
      <c r="BE178" t="s">
        <v>139</v>
      </c>
      <c r="BF178">
        <v>14</v>
      </c>
      <c r="BH178">
        <f t="shared" si="8"/>
        <v>168</v>
      </c>
      <c r="BI178">
        <v>8</v>
      </c>
      <c r="BJ178">
        <v>3</v>
      </c>
      <c r="BK178">
        <v>1</v>
      </c>
      <c r="BR178" t="s">
        <v>449</v>
      </c>
      <c r="BT178" t="s">
        <v>487</v>
      </c>
      <c r="BU178" t="s">
        <v>482</v>
      </c>
      <c r="BV178">
        <v>27.929712500000001</v>
      </c>
      <c r="BW178" t="s">
        <v>454</v>
      </c>
      <c r="BX178">
        <v>3</v>
      </c>
      <c r="BY178">
        <v>27.2971246</v>
      </c>
      <c r="BZ178">
        <v>0.99606755999999996</v>
      </c>
      <c r="CA178">
        <v>3</v>
      </c>
      <c r="CB178" t="s">
        <v>113</v>
      </c>
      <c r="CC178" t="s">
        <v>469</v>
      </c>
    </row>
    <row r="179" spans="1:81" x14ac:dyDescent="0.25">
      <c r="A179" t="s">
        <v>81</v>
      </c>
      <c r="B179">
        <v>178</v>
      </c>
      <c r="C179">
        <v>32</v>
      </c>
      <c r="D179">
        <v>11</v>
      </c>
      <c r="E179">
        <v>29</v>
      </c>
      <c r="F179">
        <v>31</v>
      </c>
      <c r="G179">
        <v>79</v>
      </c>
      <c r="H179">
        <v>110</v>
      </c>
      <c r="I179" t="s">
        <v>442</v>
      </c>
      <c r="J179" t="s">
        <v>184</v>
      </c>
      <c r="L179" t="s">
        <v>478</v>
      </c>
      <c r="M179" t="s">
        <v>85</v>
      </c>
      <c r="O179" t="s">
        <v>14</v>
      </c>
      <c r="P179" t="s">
        <v>444</v>
      </c>
      <c r="Q179" t="s">
        <v>445</v>
      </c>
      <c r="R179">
        <v>1991</v>
      </c>
      <c r="S179" t="s">
        <v>446</v>
      </c>
      <c r="U179" t="s">
        <v>447</v>
      </c>
      <c r="V179" t="s">
        <v>448</v>
      </c>
      <c r="W179" t="s">
        <v>91</v>
      </c>
      <c r="X179" t="s">
        <v>126</v>
      </c>
      <c r="Y179" t="s">
        <v>190</v>
      </c>
      <c r="Z179" t="s">
        <v>191</v>
      </c>
      <c r="AA179" t="s">
        <v>239</v>
      </c>
      <c r="AB179" t="s">
        <v>240</v>
      </c>
      <c r="AC179" t="s">
        <v>241</v>
      </c>
      <c r="AD179" t="s">
        <v>132</v>
      </c>
      <c r="AE179" t="s">
        <v>133</v>
      </c>
      <c r="AF179" t="s">
        <v>100</v>
      </c>
      <c r="AG179" t="s">
        <v>102</v>
      </c>
      <c r="AH179" t="s">
        <v>102</v>
      </c>
      <c r="AI179" t="s">
        <v>134</v>
      </c>
      <c r="AJ179" t="s">
        <v>135</v>
      </c>
      <c r="AM179" t="s">
        <v>136</v>
      </c>
      <c r="AN179" t="s">
        <v>242</v>
      </c>
      <c r="AT179">
        <v>102</v>
      </c>
      <c r="AU179">
        <v>11</v>
      </c>
      <c r="AW179" t="s">
        <v>108</v>
      </c>
      <c r="AZ179" t="s">
        <v>212</v>
      </c>
      <c r="BA179" t="s">
        <v>142</v>
      </c>
      <c r="BB179">
        <v>5</v>
      </c>
      <c r="BC179">
        <v>10</v>
      </c>
      <c r="BD179">
        <v>0.15</v>
      </c>
      <c r="BE179" t="s">
        <v>139</v>
      </c>
      <c r="BF179">
        <v>14</v>
      </c>
      <c r="BH179">
        <f t="shared" si="8"/>
        <v>168</v>
      </c>
      <c r="BI179">
        <v>8</v>
      </c>
      <c r="BJ179">
        <v>3</v>
      </c>
      <c r="BK179">
        <v>1</v>
      </c>
      <c r="BR179" t="s">
        <v>449</v>
      </c>
      <c r="BT179" t="s">
        <v>461</v>
      </c>
      <c r="BU179" t="s">
        <v>488</v>
      </c>
      <c r="BV179">
        <v>24.0766773</v>
      </c>
      <c r="BW179">
        <v>1.59370809</v>
      </c>
      <c r="BX179">
        <v>3</v>
      </c>
      <c r="BY179">
        <v>26.568690100000001</v>
      </c>
      <c r="BZ179">
        <v>1.29488782</v>
      </c>
      <c r="CA179">
        <v>3</v>
      </c>
      <c r="CB179" t="s">
        <v>113</v>
      </c>
      <c r="CC179" t="s">
        <v>451</v>
      </c>
    </row>
    <row r="180" spans="1:81" x14ac:dyDescent="0.25">
      <c r="A180" t="s">
        <v>81</v>
      </c>
      <c r="B180">
        <v>179</v>
      </c>
      <c r="C180">
        <v>32</v>
      </c>
      <c r="D180">
        <v>11</v>
      </c>
      <c r="E180">
        <v>29</v>
      </c>
      <c r="F180">
        <v>31</v>
      </c>
      <c r="G180">
        <v>79</v>
      </c>
      <c r="H180">
        <v>111</v>
      </c>
      <c r="I180" t="s">
        <v>442</v>
      </c>
      <c r="J180" t="s">
        <v>184</v>
      </c>
      <c r="L180" t="s">
        <v>478</v>
      </c>
      <c r="M180" t="s">
        <v>85</v>
      </c>
      <c r="O180" t="s">
        <v>14</v>
      </c>
      <c r="P180" t="s">
        <v>444</v>
      </c>
      <c r="Q180" t="s">
        <v>445</v>
      </c>
      <c r="R180">
        <v>1991</v>
      </c>
      <c r="S180" t="s">
        <v>446</v>
      </c>
      <c r="U180" t="s">
        <v>447</v>
      </c>
      <c r="V180" t="s">
        <v>448</v>
      </c>
      <c r="W180" t="s">
        <v>91</v>
      </c>
      <c r="X180" t="s">
        <v>126</v>
      </c>
      <c r="Y180" t="s">
        <v>190</v>
      </c>
      <c r="Z180" t="s">
        <v>191</v>
      </c>
      <c r="AA180" t="s">
        <v>239</v>
      </c>
      <c r="AB180" t="s">
        <v>240</v>
      </c>
      <c r="AC180" t="s">
        <v>241</v>
      </c>
      <c r="AD180" t="s">
        <v>132</v>
      </c>
      <c r="AE180" t="s">
        <v>133</v>
      </c>
      <c r="AF180" t="s">
        <v>100</v>
      </c>
      <c r="AG180" t="s">
        <v>102</v>
      </c>
      <c r="AH180" t="s">
        <v>102</v>
      </c>
      <c r="AI180" t="s">
        <v>134</v>
      </c>
      <c r="AJ180" t="s">
        <v>135</v>
      </c>
      <c r="AM180" t="s">
        <v>136</v>
      </c>
      <c r="AN180" t="s">
        <v>242</v>
      </c>
      <c r="AT180">
        <v>102</v>
      </c>
      <c r="AU180">
        <v>11</v>
      </c>
      <c r="AW180" t="s">
        <v>108</v>
      </c>
      <c r="AZ180" t="s">
        <v>212</v>
      </c>
      <c r="BA180" t="s">
        <v>142</v>
      </c>
      <c r="BB180">
        <v>10</v>
      </c>
      <c r="BC180">
        <v>15</v>
      </c>
      <c r="BD180">
        <v>0.15</v>
      </c>
      <c r="BE180" t="s">
        <v>139</v>
      </c>
      <c r="BF180">
        <v>14</v>
      </c>
      <c r="BH180">
        <f t="shared" si="8"/>
        <v>168</v>
      </c>
      <c r="BI180">
        <v>8</v>
      </c>
      <c r="BJ180">
        <v>3</v>
      </c>
      <c r="BK180">
        <v>1</v>
      </c>
      <c r="BR180" t="s">
        <v>449</v>
      </c>
      <c r="BT180" t="s">
        <v>461</v>
      </c>
      <c r="BU180" t="s">
        <v>488</v>
      </c>
      <c r="BV180">
        <v>26.568690100000001</v>
      </c>
      <c r="BW180">
        <v>1.29488782</v>
      </c>
      <c r="BX180">
        <v>3</v>
      </c>
      <c r="BY180">
        <v>27.565495200000001</v>
      </c>
      <c r="BZ180">
        <v>1.29488782</v>
      </c>
      <c r="CA180">
        <v>3</v>
      </c>
      <c r="CB180" t="s">
        <v>113</v>
      </c>
      <c r="CC180" t="s">
        <v>451</v>
      </c>
    </row>
    <row r="181" spans="1:81" x14ac:dyDescent="0.25">
      <c r="A181" t="s">
        <v>81</v>
      </c>
      <c r="B181">
        <v>180</v>
      </c>
      <c r="C181">
        <v>32</v>
      </c>
      <c r="D181">
        <v>11</v>
      </c>
      <c r="E181">
        <v>29</v>
      </c>
      <c r="F181">
        <v>31</v>
      </c>
      <c r="G181">
        <v>79</v>
      </c>
      <c r="H181">
        <v>112</v>
      </c>
      <c r="I181" t="s">
        <v>442</v>
      </c>
      <c r="J181" t="s">
        <v>184</v>
      </c>
      <c r="L181" t="s">
        <v>478</v>
      </c>
      <c r="M181" t="s">
        <v>85</v>
      </c>
      <c r="O181" t="s">
        <v>14</v>
      </c>
      <c r="P181" t="s">
        <v>444</v>
      </c>
      <c r="Q181" t="s">
        <v>445</v>
      </c>
      <c r="R181">
        <v>1991</v>
      </c>
      <c r="S181" t="s">
        <v>446</v>
      </c>
      <c r="U181" t="s">
        <v>447</v>
      </c>
      <c r="V181" t="s">
        <v>448</v>
      </c>
      <c r="W181" t="s">
        <v>91</v>
      </c>
      <c r="X181" t="s">
        <v>126</v>
      </c>
      <c r="Y181" t="s">
        <v>190</v>
      </c>
      <c r="Z181" t="s">
        <v>191</v>
      </c>
      <c r="AA181" t="s">
        <v>239</v>
      </c>
      <c r="AB181" t="s">
        <v>240</v>
      </c>
      <c r="AC181" t="s">
        <v>241</v>
      </c>
      <c r="AD181" t="s">
        <v>132</v>
      </c>
      <c r="AE181" t="s">
        <v>133</v>
      </c>
      <c r="AF181" t="s">
        <v>100</v>
      </c>
      <c r="AG181" t="s">
        <v>102</v>
      </c>
      <c r="AH181" t="s">
        <v>102</v>
      </c>
      <c r="AI181" t="s">
        <v>134</v>
      </c>
      <c r="AJ181" t="s">
        <v>135</v>
      </c>
      <c r="AM181" t="s">
        <v>136</v>
      </c>
      <c r="AN181" t="s">
        <v>242</v>
      </c>
      <c r="AT181">
        <v>102</v>
      </c>
      <c r="AU181">
        <v>11</v>
      </c>
      <c r="AW181" t="s">
        <v>108</v>
      </c>
      <c r="AZ181" t="s">
        <v>212</v>
      </c>
      <c r="BA181" t="s">
        <v>142</v>
      </c>
      <c r="BB181">
        <v>15</v>
      </c>
      <c r="BC181">
        <v>20</v>
      </c>
      <c r="BD181">
        <v>0.15</v>
      </c>
      <c r="BE181" t="s">
        <v>139</v>
      </c>
      <c r="BF181">
        <v>14</v>
      </c>
      <c r="BH181">
        <f t="shared" si="8"/>
        <v>168</v>
      </c>
      <c r="BI181">
        <v>8</v>
      </c>
      <c r="BJ181">
        <v>3</v>
      </c>
      <c r="BK181">
        <v>1</v>
      </c>
      <c r="BR181" t="s">
        <v>449</v>
      </c>
      <c r="BT181" t="s">
        <v>461</v>
      </c>
      <c r="BU181" t="s">
        <v>488</v>
      </c>
      <c r="BV181">
        <v>27.565495200000001</v>
      </c>
      <c r="BW181">
        <v>1.29488782</v>
      </c>
      <c r="BX181">
        <v>3</v>
      </c>
      <c r="BY181">
        <v>27.412140600000001</v>
      </c>
      <c r="BZ181">
        <v>1.1620788200000001</v>
      </c>
      <c r="CA181">
        <v>3</v>
      </c>
      <c r="CB181" t="s">
        <v>113</v>
      </c>
      <c r="CC181" t="s">
        <v>451</v>
      </c>
    </row>
    <row r="182" spans="1:81" x14ac:dyDescent="0.25">
      <c r="A182" t="s">
        <v>81</v>
      </c>
      <c r="B182">
        <v>181</v>
      </c>
      <c r="C182">
        <v>32</v>
      </c>
      <c r="D182">
        <v>11</v>
      </c>
      <c r="E182">
        <v>29</v>
      </c>
      <c r="F182">
        <v>31</v>
      </c>
      <c r="G182">
        <v>79</v>
      </c>
      <c r="H182">
        <v>113</v>
      </c>
      <c r="I182" t="s">
        <v>442</v>
      </c>
      <c r="J182" t="s">
        <v>184</v>
      </c>
      <c r="L182" t="s">
        <v>478</v>
      </c>
      <c r="M182" t="s">
        <v>85</v>
      </c>
      <c r="O182" t="s">
        <v>14</v>
      </c>
      <c r="P182" t="s">
        <v>444</v>
      </c>
      <c r="Q182" t="s">
        <v>445</v>
      </c>
      <c r="R182">
        <v>1991</v>
      </c>
      <c r="S182" t="s">
        <v>446</v>
      </c>
      <c r="U182" t="s">
        <v>447</v>
      </c>
      <c r="V182" t="s">
        <v>448</v>
      </c>
      <c r="W182" t="s">
        <v>91</v>
      </c>
      <c r="X182" t="s">
        <v>126</v>
      </c>
      <c r="Y182" t="s">
        <v>190</v>
      </c>
      <c r="Z182" t="s">
        <v>191</v>
      </c>
      <c r="AA182" t="s">
        <v>239</v>
      </c>
      <c r="AB182" t="s">
        <v>240</v>
      </c>
      <c r="AC182" t="s">
        <v>241</v>
      </c>
      <c r="AD182" t="s">
        <v>132</v>
      </c>
      <c r="AE182" t="s">
        <v>133</v>
      </c>
      <c r="AF182" t="s">
        <v>100</v>
      </c>
      <c r="AG182" t="s">
        <v>102</v>
      </c>
      <c r="AH182" t="s">
        <v>102</v>
      </c>
      <c r="AI182" t="s">
        <v>134</v>
      </c>
      <c r="AJ182" t="s">
        <v>135</v>
      </c>
      <c r="AM182" t="s">
        <v>136</v>
      </c>
      <c r="AN182" t="s">
        <v>242</v>
      </c>
      <c r="AT182">
        <v>102</v>
      </c>
      <c r="AU182">
        <v>11</v>
      </c>
      <c r="AW182" t="s">
        <v>108</v>
      </c>
      <c r="AZ182" t="s">
        <v>212</v>
      </c>
      <c r="BA182" t="s">
        <v>142</v>
      </c>
      <c r="BB182">
        <v>20</v>
      </c>
      <c r="BC182">
        <v>25</v>
      </c>
      <c r="BD182">
        <v>0.15</v>
      </c>
      <c r="BE182" t="s">
        <v>139</v>
      </c>
      <c r="BF182">
        <v>14</v>
      </c>
      <c r="BH182">
        <f t="shared" si="8"/>
        <v>168</v>
      </c>
      <c r="BI182">
        <v>8</v>
      </c>
      <c r="BJ182">
        <v>3</v>
      </c>
      <c r="BK182">
        <v>1</v>
      </c>
      <c r="BR182" t="s">
        <v>449</v>
      </c>
      <c r="BT182" t="s">
        <v>461</v>
      </c>
      <c r="BU182" t="s">
        <v>488</v>
      </c>
      <c r="BV182">
        <v>27.412140600000001</v>
      </c>
      <c r="BW182">
        <v>1.1620788200000001</v>
      </c>
      <c r="BX182">
        <v>3</v>
      </c>
      <c r="BY182">
        <v>27.201277999999999</v>
      </c>
      <c r="BZ182">
        <v>1.1952810700000001</v>
      </c>
      <c r="CA182">
        <v>3</v>
      </c>
      <c r="CB182" t="s">
        <v>113</v>
      </c>
      <c r="CC182" t="s">
        <v>451</v>
      </c>
    </row>
    <row r="183" spans="1:81" x14ac:dyDescent="0.25">
      <c r="A183" t="s">
        <v>81</v>
      </c>
      <c r="B183">
        <v>182</v>
      </c>
      <c r="C183">
        <v>32</v>
      </c>
      <c r="D183">
        <v>11</v>
      </c>
      <c r="E183">
        <v>29</v>
      </c>
      <c r="F183">
        <v>31</v>
      </c>
      <c r="G183">
        <v>79</v>
      </c>
      <c r="H183">
        <v>114</v>
      </c>
      <c r="I183" t="s">
        <v>442</v>
      </c>
      <c r="J183" t="s">
        <v>184</v>
      </c>
      <c r="L183" t="s">
        <v>478</v>
      </c>
      <c r="M183" t="s">
        <v>85</v>
      </c>
      <c r="O183" t="s">
        <v>14</v>
      </c>
      <c r="P183" t="s">
        <v>444</v>
      </c>
      <c r="Q183" t="s">
        <v>445</v>
      </c>
      <c r="R183">
        <v>1991</v>
      </c>
      <c r="S183" t="s">
        <v>446</v>
      </c>
      <c r="U183" t="s">
        <v>447</v>
      </c>
      <c r="V183" t="s">
        <v>448</v>
      </c>
      <c r="W183" t="s">
        <v>91</v>
      </c>
      <c r="X183" t="s">
        <v>126</v>
      </c>
      <c r="Y183" t="s">
        <v>190</v>
      </c>
      <c r="Z183" t="s">
        <v>191</v>
      </c>
      <c r="AA183" t="s">
        <v>239</v>
      </c>
      <c r="AB183" t="s">
        <v>240</v>
      </c>
      <c r="AC183" t="s">
        <v>241</v>
      </c>
      <c r="AD183" t="s">
        <v>132</v>
      </c>
      <c r="AE183" t="s">
        <v>133</v>
      </c>
      <c r="AF183" t="s">
        <v>100</v>
      </c>
      <c r="AG183" t="s">
        <v>102</v>
      </c>
      <c r="AH183" t="s">
        <v>102</v>
      </c>
      <c r="AI183" t="s">
        <v>134</v>
      </c>
      <c r="AJ183" t="s">
        <v>135</v>
      </c>
      <c r="AM183" t="s">
        <v>136</v>
      </c>
      <c r="AN183" t="s">
        <v>242</v>
      </c>
      <c r="AT183">
        <v>102</v>
      </c>
      <c r="AU183">
        <v>11</v>
      </c>
      <c r="AW183" t="s">
        <v>108</v>
      </c>
      <c r="AZ183" t="s">
        <v>212</v>
      </c>
      <c r="BA183" t="s">
        <v>142</v>
      </c>
      <c r="BB183">
        <v>25</v>
      </c>
      <c r="BC183">
        <v>27</v>
      </c>
      <c r="BD183">
        <v>0.15</v>
      </c>
      <c r="BE183" t="s">
        <v>139</v>
      </c>
      <c r="BF183">
        <v>14</v>
      </c>
      <c r="BH183">
        <f t="shared" si="8"/>
        <v>168</v>
      </c>
      <c r="BI183">
        <v>8</v>
      </c>
      <c r="BJ183">
        <v>3</v>
      </c>
      <c r="BK183">
        <v>1</v>
      </c>
      <c r="BR183" t="s">
        <v>449</v>
      </c>
      <c r="BT183" t="s">
        <v>475</v>
      </c>
      <c r="BU183" t="s">
        <v>488</v>
      </c>
      <c r="BV183">
        <v>27.201277999999999</v>
      </c>
      <c r="BW183">
        <v>1.1952810700000001</v>
      </c>
      <c r="BX183">
        <v>3</v>
      </c>
      <c r="BY183">
        <v>27.929712500000001</v>
      </c>
      <c r="BZ183" t="s">
        <v>454</v>
      </c>
      <c r="CA183">
        <v>3</v>
      </c>
      <c r="CB183" t="s">
        <v>113</v>
      </c>
      <c r="CC183" t="s">
        <v>489</v>
      </c>
    </row>
    <row r="184" spans="1:81" x14ac:dyDescent="0.25">
      <c r="A184" t="s">
        <v>81</v>
      </c>
      <c r="B184">
        <v>183</v>
      </c>
      <c r="C184">
        <v>33</v>
      </c>
      <c r="D184">
        <v>32</v>
      </c>
      <c r="E184">
        <v>30</v>
      </c>
      <c r="F184">
        <v>32</v>
      </c>
      <c r="G184">
        <v>78</v>
      </c>
      <c r="H184">
        <v>115</v>
      </c>
      <c r="I184" t="s">
        <v>490</v>
      </c>
      <c r="J184" t="s">
        <v>184</v>
      </c>
      <c r="L184" t="s">
        <v>491</v>
      </c>
      <c r="M184" t="s">
        <v>85</v>
      </c>
      <c r="O184" t="s">
        <v>14</v>
      </c>
      <c r="P184" t="s">
        <v>492</v>
      </c>
      <c r="Q184" t="s">
        <v>493</v>
      </c>
      <c r="R184">
        <v>2002</v>
      </c>
      <c r="S184" t="s">
        <v>494</v>
      </c>
      <c r="U184" t="s">
        <v>495</v>
      </c>
      <c r="V184" t="s">
        <v>495</v>
      </c>
      <c r="W184" t="s">
        <v>91</v>
      </c>
      <c r="X184" t="s">
        <v>126</v>
      </c>
      <c r="Y184" t="s">
        <v>190</v>
      </c>
      <c r="Z184" t="s">
        <v>191</v>
      </c>
      <c r="AA184" t="s">
        <v>496</v>
      </c>
      <c r="AB184" t="s">
        <v>497</v>
      </c>
      <c r="AC184" t="s">
        <v>498</v>
      </c>
      <c r="AD184" t="s">
        <v>132</v>
      </c>
      <c r="AE184" t="s">
        <v>133</v>
      </c>
      <c r="AF184" t="s">
        <v>100</v>
      </c>
      <c r="AG184" t="s">
        <v>102</v>
      </c>
      <c r="AH184" t="s">
        <v>102</v>
      </c>
      <c r="AI184" t="s">
        <v>134</v>
      </c>
      <c r="AJ184" t="s">
        <v>135</v>
      </c>
      <c r="AM184" t="s">
        <v>136</v>
      </c>
      <c r="AN184" t="s">
        <v>106</v>
      </c>
      <c r="AO184">
        <v>69.083333333300004</v>
      </c>
      <c r="AP184">
        <v>19.333333333300001</v>
      </c>
      <c r="AQ184">
        <v>125</v>
      </c>
      <c r="AR184" t="s">
        <v>179</v>
      </c>
      <c r="AS184">
        <v>1998</v>
      </c>
      <c r="AT184">
        <v>14</v>
      </c>
      <c r="AW184" t="s">
        <v>108</v>
      </c>
      <c r="AZ184" t="s">
        <v>109</v>
      </c>
      <c r="BA184" t="s">
        <v>142</v>
      </c>
      <c r="BB184">
        <v>0.5</v>
      </c>
      <c r="BC184">
        <v>5</v>
      </c>
      <c r="BD184">
        <v>0.1</v>
      </c>
      <c r="BE184" t="s">
        <v>139</v>
      </c>
      <c r="BF184">
        <v>3.5</v>
      </c>
      <c r="BG184">
        <f>1/30</f>
        <v>3.3333333333333333E-2</v>
      </c>
      <c r="BU184" t="s">
        <v>499</v>
      </c>
      <c r="BV184">
        <v>22.6049942</v>
      </c>
      <c r="BW184">
        <v>0.34927598999999998</v>
      </c>
      <c r="BX184">
        <v>36</v>
      </c>
      <c r="BY184">
        <v>23.432196099999999</v>
      </c>
      <c r="BZ184">
        <v>0.51658614999999997</v>
      </c>
      <c r="CA184">
        <v>35</v>
      </c>
      <c r="CB184" t="s">
        <v>113</v>
      </c>
      <c r="CC184" t="s">
        <v>141</v>
      </c>
    </row>
    <row r="185" spans="1:81" x14ac:dyDescent="0.25">
      <c r="A185" t="s">
        <v>81</v>
      </c>
      <c r="B185">
        <v>184</v>
      </c>
      <c r="C185">
        <v>33</v>
      </c>
      <c r="D185">
        <v>32</v>
      </c>
      <c r="E185">
        <v>30</v>
      </c>
      <c r="F185">
        <v>32</v>
      </c>
      <c r="G185">
        <v>78</v>
      </c>
      <c r="H185">
        <v>116</v>
      </c>
      <c r="I185" t="s">
        <v>490</v>
      </c>
      <c r="J185" t="s">
        <v>184</v>
      </c>
      <c r="L185" t="s">
        <v>491</v>
      </c>
      <c r="M185" t="s">
        <v>85</v>
      </c>
      <c r="O185" t="s">
        <v>14</v>
      </c>
      <c r="P185" t="s">
        <v>492</v>
      </c>
      <c r="Q185" t="s">
        <v>493</v>
      </c>
      <c r="R185">
        <v>2002</v>
      </c>
      <c r="S185" t="s">
        <v>494</v>
      </c>
      <c r="U185" t="s">
        <v>495</v>
      </c>
      <c r="V185" t="s">
        <v>495</v>
      </c>
      <c r="W185" t="s">
        <v>91</v>
      </c>
      <c r="X185" t="s">
        <v>126</v>
      </c>
      <c r="Y185" t="s">
        <v>190</v>
      </c>
      <c r="Z185" t="s">
        <v>191</v>
      </c>
      <c r="AA185" t="s">
        <v>496</v>
      </c>
      <c r="AB185" t="s">
        <v>497</v>
      </c>
      <c r="AC185" t="s">
        <v>498</v>
      </c>
      <c r="AD185" t="s">
        <v>132</v>
      </c>
      <c r="AE185" t="s">
        <v>133</v>
      </c>
      <c r="AF185" t="s">
        <v>100</v>
      </c>
      <c r="AG185" t="s">
        <v>102</v>
      </c>
      <c r="AH185" t="s">
        <v>102</v>
      </c>
      <c r="AI185" t="s">
        <v>134</v>
      </c>
      <c r="AJ185" t="s">
        <v>135</v>
      </c>
      <c r="AM185" t="s">
        <v>136</v>
      </c>
      <c r="AN185" t="s">
        <v>106</v>
      </c>
      <c r="AO185">
        <v>69.083333333300004</v>
      </c>
      <c r="AP185">
        <v>19.333333333300001</v>
      </c>
      <c r="AQ185">
        <v>125</v>
      </c>
      <c r="AR185" t="s">
        <v>179</v>
      </c>
      <c r="AS185">
        <v>1998</v>
      </c>
      <c r="AT185">
        <v>14</v>
      </c>
      <c r="AW185" t="s">
        <v>108</v>
      </c>
      <c r="AZ185" t="s">
        <v>109</v>
      </c>
      <c r="BA185" t="s">
        <v>142</v>
      </c>
      <c r="BB185">
        <v>5</v>
      </c>
      <c r="BC185">
        <v>10</v>
      </c>
      <c r="BD185">
        <v>0.1</v>
      </c>
      <c r="BE185" t="s">
        <v>139</v>
      </c>
      <c r="BF185">
        <v>3.5</v>
      </c>
      <c r="BG185">
        <f>1/30</f>
        <v>3.3333333333333333E-2</v>
      </c>
      <c r="BU185" t="s">
        <v>499</v>
      </c>
      <c r="BV185">
        <v>23.432196099999999</v>
      </c>
      <c r="BW185">
        <v>0.51658614999999997</v>
      </c>
      <c r="BX185">
        <v>35</v>
      </c>
      <c r="BY185">
        <v>24.5731644</v>
      </c>
      <c r="BZ185">
        <v>0.69855197999999996</v>
      </c>
      <c r="CA185">
        <v>36</v>
      </c>
      <c r="CB185" t="s">
        <v>113</v>
      </c>
      <c r="CC185" t="s">
        <v>141</v>
      </c>
    </row>
    <row r="186" spans="1:81" x14ac:dyDescent="0.25">
      <c r="A186" t="s">
        <v>81</v>
      </c>
      <c r="B186">
        <v>185</v>
      </c>
      <c r="C186">
        <v>33</v>
      </c>
      <c r="D186">
        <v>32</v>
      </c>
      <c r="E186">
        <v>30</v>
      </c>
      <c r="F186">
        <v>32</v>
      </c>
      <c r="G186">
        <v>78</v>
      </c>
      <c r="H186">
        <v>117</v>
      </c>
      <c r="I186" t="s">
        <v>490</v>
      </c>
      <c r="J186" t="s">
        <v>184</v>
      </c>
      <c r="L186" t="s">
        <v>491</v>
      </c>
      <c r="M186" t="s">
        <v>85</v>
      </c>
      <c r="O186" t="s">
        <v>14</v>
      </c>
      <c r="P186" t="s">
        <v>492</v>
      </c>
      <c r="Q186" t="s">
        <v>493</v>
      </c>
      <c r="R186">
        <v>2002</v>
      </c>
      <c r="S186" t="s">
        <v>494</v>
      </c>
      <c r="U186" t="s">
        <v>495</v>
      </c>
      <c r="V186" t="s">
        <v>495</v>
      </c>
      <c r="W186" t="s">
        <v>91</v>
      </c>
      <c r="X186" t="s">
        <v>126</v>
      </c>
      <c r="Y186" t="s">
        <v>190</v>
      </c>
      <c r="Z186" t="s">
        <v>191</v>
      </c>
      <c r="AA186" t="s">
        <v>496</v>
      </c>
      <c r="AB186" t="s">
        <v>497</v>
      </c>
      <c r="AC186" t="s">
        <v>498</v>
      </c>
      <c r="AD186" t="s">
        <v>132</v>
      </c>
      <c r="AE186" t="s">
        <v>133</v>
      </c>
      <c r="AF186" t="s">
        <v>100</v>
      </c>
      <c r="AG186" t="s">
        <v>102</v>
      </c>
      <c r="AH186" t="s">
        <v>102</v>
      </c>
      <c r="AI186" t="s">
        <v>134</v>
      </c>
      <c r="AJ186" t="s">
        <v>135</v>
      </c>
      <c r="AM186" t="s">
        <v>136</v>
      </c>
      <c r="AN186" t="s">
        <v>106</v>
      </c>
      <c r="AO186">
        <v>69.083333333300004</v>
      </c>
      <c r="AP186">
        <v>19.333333333300001</v>
      </c>
      <c r="AQ186">
        <v>125</v>
      </c>
      <c r="AR186" t="s">
        <v>179</v>
      </c>
      <c r="AS186">
        <v>1998</v>
      </c>
      <c r="AT186">
        <v>14</v>
      </c>
      <c r="AW186" t="s">
        <v>108</v>
      </c>
      <c r="AZ186" t="s">
        <v>109</v>
      </c>
      <c r="BA186" t="s">
        <v>142</v>
      </c>
      <c r="BB186">
        <v>10</v>
      </c>
      <c r="BC186">
        <v>15</v>
      </c>
      <c r="BD186">
        <v>0.1</v>
      </c>
      <c r="BE186" t="s">
        <v>139</v>
      </c>
      <c r="BF186">
        <v>3.5</v>
      </c>
      <c r="BG186">
        <f>1/30</f>
        <v>3.3333333333333333E-2</v>
      </c>
      <c r="BU186" t="s">
        <v>499</v>
      </c>
      <c r="BV186">
        <v>24.5731644</v>
      </c>
      <c r="BW186">
        <v>0.69855197999999996</v>
      </c>
      <c r="BX186">
        <v>36</v>
      </c>
      <c r="BY186">
        <v>26.3131409</v>
      </c>
      <c r="BZ186">
        <v>0.96050897000000002</v>
      </c>
      <c r="CA186">
        <v>36</v>
      </c>
      <c r="CB186" t="s">
        <v>113</v>
      </c>
      <c r="CC186" t="s">
        <v>141</v>
      </c>
    </row>
    <row r="187" spans="1:81" x14ac:dyDescent="0.25">
      <c r="A187" t="s">
        <v>81</v>
      </c>
      <c r="B187">
        <v>186</v>
      </c>
      <c r="C187">
        <v>33</v>
      </c>
      <c r="D187">
        <v>32</v>
      </c>
      <c r="E187">
        <v>30</v>
      </c>
      <c r="F187">
        <v>32</v>
      </c>
      <c r="G187">
        <v>78</v>
      </c>
      <c r="H187">
        <v>118</v>
      </c>
      <c r="I187" t="s">
        <v>490</v>
      </c>
      <c r="J187" t="s">
        <v>184</v>
      </c>
      <c r="L187" t="s">
        <v>491</v>
      </c>
      <c r="M187" t="s">
        <v>85</v>
      </c>
      <c r="O187" t="s">
        <v>14</v>
      </c>
      <c r="P187" t="s">
        <v>492</v>
      </c>
      <c r="Q187" t="s">
        <v>493</v>
      </c>
      <c r="R187">
        <v>2002</v>
      </c>
      <c r="S187" t="s">
        <v>494</v>
      </c>
      <c r="U187" t="s">
        <v>495</v>
      </c>
      <c r="V187" t="s">
        <v>495</v>
      </c>
      <c r="W187" t="s">
        <v>91</v>
      </c>
      <c r="X187" t="s">
        <v>126</v>
      </c>
      <c r="Y187" t="s">
        <v>190</v>
      </c>
      <c r="Z187" t="s">
        <v>191</v>
      </c>
      <c r="AA187" t="s">
        <v>496</v>
      </c>
      <c r="AB187" t="s">
        <v>497</v>
      </c>
      <c r="AC187" t="s">
        <v>498</v>
      </c>
      <c r="AD187" t="s">
        <v>132</v>
      </c>
      <c r="AE187" t="s">
        <v>133</v>
      </c>
      <c r="AF187" t="s">
        <v>100</v>
      </c>
      <c r="AG187" t="s">
        <v>102</v>
      </c>
      <c r="AH187" t="s">
        <v>102</v>
      </c>
      <c r="AI187" t="s">
        <v>134</v>
      </c>
      <c r="AJ187" t="s">
        <v>135</v>
      </c>
      <c r="AM187" t="s">
        <v>136</v>
      </c>
      <c r="AN187" t="s">
        <v>106</v>
      </c>
      <c r="AO187">
        <v>69.083333333300004</v>
      </c>
      <c r="AP187">
        <v>19.333333333300001</v>
      </c>
      <c r="AQ187">
        <v>125</v>
      </c>
      <c r="AR187" t="s">
        <v>179</v>
      </c>
      <c r="AS187">
        <v>1998</v>
      </c>
      <c r="AT187">
        <v>14</v>
      </c>
      <c r="AW187" t="s">
        <v>108</v>
      </c>
      <c r="AZ187" t="s">
        <v>109</v>
      </c>
      <c r="BA187" t="s">
        <v>142</v>
      </c>
      <c r="BB187">
        <v>15</v>
      </c>
      <c r="BC187">
        <v>20</v>
      </c>
      <c r="BD187">
        <v>0.1</v>
      </c>
      <c r="BE187" t="s">
        <v>139</v>
      </c>
      <c r="BF187">
        <v>3.5</v>
      </c>
      <c r="BG187">
        <f>1/30</f>
        <v>3.3333333333333333E-2</v>
      </c>
      <c r="BU187" t="s">
        <v>499</v>
      </c>
      <c r="BV187">
        <v>26.3131409</v>
      </c>
      <c r="BW187">
        <v>0.96050897000000002</v>
      </c>
      <c r="BX187">
        <v>36</v>
      </c>
      <c r="BY187">
        <v>26.541334599999999</v>
      </c>
      <c r="BZ187">
        <v>1.0388963</v>
      </c>
      <c r="CA187">
        <v>26</v>
      </c>
      <c r="CB187" t="s">
        <v>113</v>
      </c>
      <c r="CC187" t="s">
        <v>141</v>
      </c>
    </row>
    <row r="188" spans="1:81" x14ac:dyDescent="0.25">
      <c r="A188" t="s">
        <v>81</v>
      </c>
      <c r="B188">
        <v>187</v>
      </c>
      <c r="C188">
        <v>33</v>
      </c>
      <c r="D188">
        <v>32</v>
      </c>
      <c r="E188">
        <v>30</v>
      </c>
      <c r="F188">
        <v>32</v>
      </c>
      <c r="G188">
        <v>79</v>
      </c>
      <c r="H188">
        <v>119</v>
      </c>
      <c r="I188" t="s">
        <v>490</v>
      </c>
      <c r="J188" t="s">
        <v>184</v>
      </c>
      <c r="L188" t="s">
        <v>491</v>
      </c>
      <c r="M188" t="s">
        <v>85</v>
      </c>
      <c r="O188" t="s">
        <v>14</v>
      </c>
      <c r="P188" t="s">
        <v>492</v>
      </c>
      <c r="Q188" t="s">
        <v>493</v>
      </c>
      <c r="R188">
        <v>2002</v>
      </c>
      <c r="S188" t="s">
        <v>494</v>
      </c>
      <c r="U188" t="s">
        <v>495</v>
      </c>
      <c r="V188" t="s">
        <v>495</v>
      </c>
      <c r="W188" t="s">
        <v>91</v>
      </c>
      <c r="X188" t="s">
        <v>126</v>
      </c>
      <c r="Y188" t="s">
        <v>190</v>
      </c>
      <c r="Z188" t="s">
        <v>191</v>
      </c>
      <c r="AA188" t="s">
        <v>496</v>
      </c>
      <c r="AB188" t="s">
        <v>497</v>
      </c>
      <c r="AC188" t="s">
        <v>498</v>
      </c>
      <c r="AD188" t="s">
        <v>132</v>
      </c>
      <c r="AE188" t="s">
        <v>133</v>
      </c>
      <c r="AF188" t="s">
        <v>100</v>
      </c>
      <c r="AG188" t="s">
        <v>102</v>
      </c>
      <c r="AH188" t="s">
        <v>102</v>
      </c>
      <c r="AI188" t="s">
        <v>134</v>
      </c>
      <c r="AJ188" t="s">
        <v>135</v>
      </c>
      <c r="AM188" t="s">
        <v>136</v>
      </c>
      <c r="AN188" t="s">
        <v>106</v>
      </c>
      <c r="AO188">
        <v>69.083333333300004</v>
      </c>
      <c r="AP188">
        <v>19.333333333300001</v>
      </c>
      <c r="AQ188">
        <v>125</v>
      </c>
      <c r="AR188" t="s">
        <v>179</v>
      </c>
      <c r="AS188">
        <v>1998</v>
      </c>
      <c r="AT188">
        <v>14</v>
      </c>
      <c r="AW188" t="s">
        <v>108</v>
      </c>
      <c r="AZ188" t="s">
        <v>212</v>
      </c>
      <c r="BA188" t="s">
        <v>142</v>
      </c>
      <c r="BB188">
        <v>0.5</v>
      </c>
      <c r="BC188">
        <v>5</v>
      </c>
      <c r="BD188">
        <v>0.1</v>
      </c>
      <c r="BE188" t="s">
        <v>139</v>
      </c>
      <c r="BF188">
        <v>3.5</v>
      </c>
      <c r="BH188">
        <v>168</v>
      </c>
      <c r="BT188" t="s">
        <v>500</v>
      </c>
      <c r="BU188" t="s">
        <v>501</v>
      </c>
      <c r="BV188">
        <v>19.1820895</v>
      </c>
      <c r="BW188">
        <v>0.92684361000000004</v>
      </c>
      <c r="BX188">
        <v>24</v>
      </c>
      <c r="BY188">
        <v>19.296186299999999</v>
      </c>
      <c r="BZ188">
        <v>1.21202627</v>
      </c>
      <c r="CA188">
        <v>24</v>
      </c>
      <c r="CB188" t="s">
        <v>113</v>
      </c>
      <c r="CC188" t="s">
        <v>141</v>
      </c>
    </row>
    <row r="189" spans="1:81" x14ac:dyDescent="0.25">
      <c r="A189" t="s">
        <v>81</v>
      </c>
      <c r="B189">
        <v>188</v>
      </c>
      <c r="C189">
        <v>33</v>
      </c>
      <c r="D189">
        <v>32</v>
      </c>
      <c r="E189">
        <v>30</v>
      </c>
      <c r="F189">
        <v>32</v>
      </c>
      <c r="G189">
        <v>79</v>
      </c>
      <c r="H189">
        <v>120</v>
      </c>
      <c r="I189" t="s">
        <v>490</v>
      </c>
      <c r="J189" t="s">
        <v>184</v>
      </c>
      <c r="L189" t="s">
        <v>491</v>
      </c>
      <c r="M189" t="s">
        <v>85</v>
      </c>
      <c r="O189" t="s">
        <v>14</v>
      </c>
      <c r="P189" t="s">
        <v>492</v>
      </c>
      <c r="Q189" t="s">
        <v>493</v>
      </c>
      <c r="R189">
        <v>2002</v>
      </c>
      <c r="S189" t="s">
        <v>494</v>
      </c>
      <c r="U189" t="s">
        <v>495</v>
      </c>
      <c r="V189" t="s">
        <v>495</v>
      </c>
      <c r="W189" t="s">
        <v>91</v>
      </c>
      <c r="X189" t="s">
        <v>126</v>
      </c>
      <c r="Y189" t="s">
        <v>190</v>
      </c>
      <c r="Z189" t="s">
        <v>191</v>
      </c>
      <c r="AA189" t="s">
        <v>496</v>
      </c>
      <c r="AB189" t="s">
        <v>497</v>
      </c>
      <c r="AC189" t="s">
        <v>498</v>
      </c>
      <c r="AD189" t="s">
        <v>132</v>
      </c>
      <c r="AE189" t="s">
        <v>133</v>
      </c>
      <c r="AF189" t="s">
        <v>100</v>
      </c>
      <c r="AG189" t="s">
        <v>102</v>
      </c>
      <c r="AH189" t="s">
        <v>102</v>
      </c>
      <c r="AI189" t="s">
        <v>134</v>
      </c>
      <c r="AJ189" t="s">
        <v>135</v>
      </c>
      <c r="AM189" t="s">
        <v>136</v>
      </c>
      <c r="AN189" t="s">
        <v>106</v>
      </c>
      <c r="AO189">
        <v>69.083333333300004</v>
      </c>
      <c r="AP189">
        <v>19.333333333300001</v>
      </c>
      <c r="AQ189">
        <v>125</v>
      </c>
      <c r="AR189" t="s">
        <v>179</v>
      </c>
      <c r="AS189">
        <v>1998</v>
      </c>
      <c r="AT189">
        <v>14</v>
      </c>
      <c r="AW189" t="s">
        <v>108</v>
      </c>
      <c r="AZ189" t="s">
        <v>212</v>
      </c>
      <c r="BA189" t="s">
        <v>142</v>
      </c>
      <c r="BB189">
        <v>5</v>
      </c>
      <c r="BC189">
        <v>10</v>
      </c>
      <c r="BD189">
        <v>0.1</v>
      </c>
      <c r="BE189" t="s">
        <v>139</v>
      </c>
      <c r="BF189">
        <v>3.5</v>
      </c>
      <c r="BH189">
        <v>168</v>
      </c>
      <c r="BT189" t="s">
        <v>500</v>
      </c>
      <c r="BU189" t="s">
        <v>501</v>
      </c>
      <c r="BV189">
        <v>19.296186299999999</v>
      </c>
      <c r="BW189">
        <v>1.21202627</v>
      </c>
      <c r="BX189">
        <v>24</v>
      </c>
      <c r="BY189">
        <v>19.438807300000001</v>
      </c>
      <c r="BZ189">
        <v>1.21202627</v>
      </c>
      <c r="CA189">
        <v>24</v>
      </c>
      <c r="CB189" t="s">
        <v>113</v>
      </c>
      <c r="CC189" t="s">
        <v>141</v>
      </c>
    </row>
    <row r="190" spans="1:81" x14ac:dyDescent="0.25">
      <c r="A190" t="s">
        <v>81</v>
      </c>
      <c r="B190">
        <v>189</v>
      </c>
      <c r="C190">
        <v>33</v>
      </c>
      <c r="D190">
        <v>32</v>
      </c>
      <c r="E190">
        <v>30</v>
      </c>
      <c r="F190">
        <v>32</v>
      </c>
      <c r="G190">
        <v>79</v>
      </c>
      <c r="H190">
        <v>121</v>
      </c>
      <c r="I190" t="s">
        <v>490</v>
      </c>
      <c r="J190" t="s">
        <v>184</v>
      </c>
      <c r="L190" t="s">
        <v>491</v>
      </c>
      <c r="M190" t="s">
        <v>85</v>
      </c>
      <c r="O190" t="s">
        <v>14</v>
      </c>
      <c r="P190" t="s">
        <v>492</v>
      </c>
      <c r="Q190" t="s">
        <v>493</v>
      </c>
      <c r="R190">
        <v>2002</v>
      </c>
      <c r="S190" t="s">
        <v>494</v>
      </c>
      <c r="U190" t="s">
        <v>495</v>
      </c>
      <c r="V190" t="s">
        <v>495</v>
      </c>
      <c r="W190" t="s">
        <v>91</v>
      </c>
      <c r="X190" t="s">
        <v>126</v>
      </c>
      <c r="Y190" t="s">
        <v>190</v>
      </c>
      <c r="Z190" t="s">
        <v>191</v>
      </c>
      <c r="AA190" t="s">
        <v>496</v>
      </c>
      <c r="AB190" t="s">
        <v>497</v>
      </c>
      <c r="AC190" t="s">
        <v>498</v>
      </c>
      <c r="AD190" t="s">
        <v>132</v>
      </c>
      <c r="AE190" t="s">
        <v>133</v>
      </c>
      <c r="AF190" t="s">
        <v>100</v>
      </c>
      <c r="AG190" t="s">
        <v>102</v>
      </c>
      <c r="AH190" t="s">
        <v>102</v>
      </c>
      <c r="AI190" t="s">
        <v>134</v>
      </c>
      <c r="AJ190" t="s">
        <v>135</v>
      </c>
      <c r="AM190" t="s">
        <v>136</v>
      </c>
      <c r="AN190" t="s">
        <v>106</v>
      </c>
      <c r="AO190">
        <v>69.083333333300004</v>
      </c>
      <c r="AP190">
        <v>19.333333333300001</v>
      </c>
      <c r="AQ190">
        <v>125</v>
      </c>
      <c r="AR190" t="s">
        <v>179</v>
      </c>
      <c r="AS190">
        <v>1998</v>
      </c>
      <c r="AT190">
        <v>14</v>
      </c>
      <c r="AW190" t="s">
        <v>108</v>
      </c>
      <c r="AZ190" t="s">
        <v>212</v>
      </c>
      <c r="BA190" t="s">
        <v>142</v>
      </c>
      <c r="BB190">
        <v>10</v>
      </c>
      <c r="BC190">
        <v>15</v>
      </c>
      <c r="BD190">
        <v>0.1</v>
      </c>
      <c r="BE190" t="s">
        <v>139</v>
      </c>
      <c r="BF190">
        <v>3.5</v>
      </c>
      <c r="BH190">
        <v>168</v>
      </c>
      <c r="BT190" t="s">
        <v>500</v>
      </c>
      <c r="BU190" t="s">
        <v>501</v>
      </c>
      <c r="BV190">
        <v>19.438807300000001</v>
      </c>
      <c r="BW190">
        <v>1.21202627</v>
      </c>
      <c r="BX190">
        <v>24</v>
      </c>
      <c r="BY190">
        <v>20.551251300000001</v>
      </c>
      <c r="BZ190">
        <v>1.0694349400000001</v>
      </c>
      <c r="CA190">
        <v>24</v>
      </c>
      <c r="CB190" t="s">
        <v>113</v>
      </c>
      <c r="CC190" t="s">
        <v>141</v>
      </c>
    </row>
    <row r="191" spans="1:81" x14ac:dyDescent="0.25">
      <c r="A191" t="s">
        <v>81</v>
      </c>
      <c r="B191">
        <v>190</v>
      </c>
      <c r="C191">
        <v>33</v>
      </c>
      <c r="D191">
        <v>32</v>
      </c>
      <c r="E191">
        <v>30</v>
      </c>
      <c r="F191">
        <v>32</v>
      </c>
      <c r="G191">
        <v>79</v>
      </c>
      <c r="H191">
        <v>122</v>
      </c>
      <c r="I191" t="s">
        <v>490</v>
      </c>
      <c r="J191" t="s">
        <v>184</v>
      </c>
      <c r="L191" t="s">
        <v>491</v>
      </c>
      <c r="M191" t="s">
        <v>85</v>
      </c>
      <c r="O191" t="s">
        <v>14</v>
      </c>
      <c r="P191" t="s">
        <v>492</v>
      </c>
      <c r="Q191" t="s">
        <v>493</v>
      </c>
      <c r="R191">
        <v>2002</v>
      </c>
      <c r="S191" t="s">
        <v>494</v>
      </c>
      <c r="U191" t="s">
        <v>495</v>
      </c>
      <c r="V191" t="s">
        <v>495</v>
      </c>
      <c r="W191" t="s">
        <v>91</v>
      </c>
      <c r="X191" t="s">
        <v>126</v>
      </c>
      <c r="Y191" t="s">
        <v>190</v>
      </c>
      <c r="Z191" t="s">
        <v>191</v>
      </c>
      <c r="AA191" t="s">
        <v>496</v>
      </c>
      <c r="AB191" t="s">
        <v>497</v>
      </c>
      <c r="AC191" t="s">
        <v>498</v>
      </c>
      <c r="AD191" t="s">
        <v>132</v>
      </c>
      <c r="AE191" t="s">
        <v>133</v>
      </c>
      <c r="AF191" t="s">
        <v>100</v>
      </c>
      <c r="AG191" t="s">
        <v>102</v>
      </c>
      <c r="AH191" t="s">
        <v>102</v>
      </c>
      <c r="AI191" t="s">
        <v>134</v>
      </c>
      <c r="AJ191" t="s">
        <v>135</v>
      </c>
      <c r="AM191" t="s">
        <v>136</v>
      </c>
      <c r="AN191" t="s">
        <v>106</v>
      </c>
      <c r="AO191">
        <v>69.083333333300004</v>
      </c>
      <c r="AP191">
        <v>19.333333333300001</v>
      </c>
      <c r="AQ191">
        <v>125</v>
      </c>
      <c r="AR191" t="s">
        <v>179</v>
      </c>
      <c r="AS191">
        <v>1998</v>
      </c>
      <c r="AT191">
        <v>14</v>
      </c>
      <c r="AW191" t="s">
        <v>108</v>
      </c>
      <c r="AZ191" t="s">
        <v>212</v>
      </c>
      <c r="BA191" t="s">
        <v>142</v>
      </c>
      <c r="BB191">
        <v>15</v>
      </c>
      <c r="BC191">
        <v>20</v>
      </c>
      <c r="BD191">
        <v>0.1</v>
      </c>
      <c r="BE191" t="s">
        <v>139</v>
      </c>
      <c r="BF191">
        <v>3.5</v>
      </c>
      <c r="BH191">
        <v>168</v>
      </c>
      <c r="BT191" t="s">
        <v>500</v>
      </c>
      <c r="BU191" t="s">
        <v>501</v>
      </c>
      <c r="BV191">
        <v>20.551251300000001</v>
      </c>
      <c r="BW191">
        <v>1.0694349400000001</v>
      </c>
      <c r="BX191">
        <v>24</v>
      </c>
      <c r="BY191">
        <v>20.893541800000001</v>
      </c>
      <c r="BZ191">
        <v>0.72005090000000005</v>
      </c>
      <c r="CA191">
        <v>17</v>
      </c>
      <c r="CB191" t="s">
        <v>113</v>
      </c>
      <c r="CC191" t="s">
        <v>141</v>
      </c>
    </row>
    <row r="192" spans="1:81" x14ac:dyDescent="0.25">
      <c r="A192" t="s">
        <v>81</v>
      </c>
      <c r="B192">
        <v>191</v>
      </c>
      <c r="C192">
        <v>36</v>
      </c>
      <c r="D192">
        <v>34</v>
      </c>
      <c r="E192">
        <v>31</v>
      </c>
      <c r="F192">
        <v>33</v>
      </c>
      <c r="G192">
        <v>80</v>
      </c>
      <c r="H192">
        <v>123</v>
      </c>
      <c r="I192" t="s">
        <v>490</v>
      </c>
      <c r="J192" t="s">
        <v>184</v>
      </c>
      <c r="L192" t="s">
        <v>502</v>
      </c>
      <c r="M192" t="s">
        <v>85</v>
      </c>
      <c r="O192" t="s">
        <v>14</v>
      </c>
      <c r="P192" t="s">
        <v>503</v>
      </c>
      <c r="Q192" t="s">
        <v>504</v>
      </c>
      <c r="R192">
        <v>1983</v>
      </c>
      <c r="S192" t="s">
        <v>505</v>
      </c>
      <c r="U192" t="s">
        <v>506</v>
      </c>
      <c r="V192" t="s">
        <v>507</v>
      </c>
      <c r="W192" t="s">
        <v>91</v>
      </c>
      <c r="X192" t="s">
        <v>508</v>
      </c>
      <c r="Y192" t="s">
        <v>509</v>
      </c>
      <c r="Z192" t="s">
        <v>510</v>
      </c>
      <c r="AA192" t="s">
        <v>511</v>
      </c>
      <c r="AB192" t="s">
        <v>512</v>
      </c>
      <c r="AC192" t="s">
        <v>513</v>
      </c>
      <c r="AD192" t="s">
        <v>132</v>
      </c>
      <c r="AE192" t="s">
        <v>514</v>
      </c>
      <c r="AF192" t="s">
        <v>100</v>
      </c>
      <c r="AG192" t="s">
        <v>261</v>
      </c>
      <c r="AH192" t="s">
        <v>102</v>
      </c>
      <c r="AI192" t="s">
        <v>134</v>
      </c>
      <c r="AJ192" t="s">
        <v>135</v>
      </c>
      <c r="AM192" t="s">
        <v>178</v>
      </c>
      <c r="AN192" t="s">
        <v>106</v>
      </c>
      <c r="AR192" t="s">
        <v>317</v>
      </c>
      <c r="AS192">
        <v>1981</v>
      </c>
      <c r="AW192" t="s">
        <v>108</v>
      </c>
      <c r="AX192">
        <v>30</v>
      </c>
      <c r="AY192" t="s">
        <v>134</v>
      </c>
      <c r="AZ192" t="s">
        <v>109</v>
      </c>
      <c r="BA192" t="s">
        <v>180</v>
      </c>
      <c r="BB192">
        <v>25</v>
      </c>
      <c r="BC192">
        <v>30</v>
      </c>
      <c r="BD192">
        <v>0.2</v>
      </c>
      <c r="BE192" t="s">
        <v>139</v>
      </c>
      <c r="BG192">
        <v>1</v>
      </c>
      <c r="BP192">
        <v>12</v>
      </c>
      <c r="BS192" t="s">
        <v>515</v>
      </c>
      <c r="BU192" t="s">
        <v>516</v>
      </c>
      <c r="BV192">
        <v>42.541076500000003</v>
      </c>
      <c r="BW192">
        <v>0.19708245999999999</v>
      </c>
      <c r="BX192">
        <v>10</v>
      </c>
      <c r="BY192">
        <v>42.983002800000001</v>
      </c>
      <c r="BZ192">
        <v>0.21499905</v>
      </c>
      <c r="CA192">
        <v>10</v>
      </c>
      <c r="CB192" t="s">
        <v>113</v>
      </c>
      <c r="CC192" t="s">
        <v>517</v>
      </c>
    </row>
    <row r="193" spans="1:81" x14ac:dyDescent="0.25">
      <c r="A193" t="s">
        <v>81</v>
      </c>
      <c r="B193">
        <v>192</v>
      </c>
      <c r="C193">
        <v>36</v>
      </c>
      <c r="D193">
        <v>34</v>
      </c>
      <c r="E193">
        <v>31</v>
      </c>
      <c r="F193">
        <v>33</v>
      </c>
      <c r="G193">
        <v>80</v>
      </c>
      <c r="H193">
        <v>124</v>
      </c>
      <c r="I193" t="s">
        <v>490</v>
      </c>
      <c r="J193" t="s">
        <v>184</v>
      </c>
      <c r="L193" t="s">
        <v>502</v>
      </c>
      <c r="M193" t="s">
        <v>85</v>
      </c>
      <c r="O193" t="s">
        <v>14</v>
      </c>
      <c r="P193" t="s">
        <v>503</v>
      </c>
      <c r="Q193" t="s">
        <v>504</v>
      </c>
      <c r="R193">
        <v>1983</v>
      </c>
      <c r="S193" t="s">
        <v>505</v>
      </c>
      <c r="U193" t="s">
        <v>506</v>
      </c>
      <c r="V193" t="s">
        <v>507</v>
      </c>
      <c r="W193" t="s">
        <v>91</v>
      </c>
      <c r="X193" t="s">
        <v>508</v>
      </c>
      <c r="Y193" t="s">
        <v>509</v>
      </c>
      <c r="Z193" t="s">
        <v>510</v>
      </c>
      <c r="AA193" t="s">
        <v>511</v>
      </c>
      <c r="AB193" t="s">
        <v>512</v>
      </c>
      <c r="AC193" t="s">
        <v>513</v>
      </c>
      <c r="AD193" t="s">
        <v>132</v>
      </c>
      <c r="AE193" t="s">
        <v>514</v>
      </c>
      <c r="AF193" t="s">
        <v>100</v>
      </c>
      <c r="AG193" t="s">
        <v>261</v>
      </c>
      <c r="AH193" t="s">
        <v>102</v>
      </c>
      <c r="AI193" t="s">
        <v>134</v>
      </c>
      <c r="AJ193" t="s">
        <v>135</v>
      </c>
      <c r="AM193" t="s">
        <v>178</v>
      </c>
      <c r="AN193" t="s">
        <v>106</v>
      </c>
      <c r="AR193" t="s">
        <v>317</v>
      </c>
      <c r="AS193">
        <v>1981</v>
      </c>
      <c r="AW193" t="s">
        <v>108</v>
      </c>
      <c r="AX193">
        <v>30</v>
      </c>
      <c r="AY193" t="s">
        <v>134</v>
      </c>
      <c r="AZ193" t="s">
        <v>109</v>
      </c>
      <c r="BA193" t="s">
        <v>180</v>
      </c>
      <c r="BB193">
        <v>30</v>
      </c>
      <c r="BC193">
        <v>35</v>
      </c>
      <c r="BD193">
        <v>0.2</v>
      </c>
      <c r="BE193" t="s">
        <v>139</v>
      </c>
      <c r="BG193">
        <v>1</v>
      </c>
      <c r="BP193">
        <v>12</v>
      </c>
      <c r="BS193" t="s">
        <v>515</v>
      </c>
      <c r="BU193" t="s">
        <v>516</v>
      </c>
      <c r="BV193">
        <v>42.983002800000001</v>
      </c>
      <c r="BW193">
        <v>0.21499905</v>
      </c>
      <c r="BX193">
        <v>10</v>
      </c>
      <c r="BY193">
        <v>43.515580700000001</v>
      </c>
      <c r="BZ193">
        <v>0.26874881</v>
      </c>
      <c r="CA193">
        <v>10</v>
      </c>
      <c r="CB193" t="s">
        <v>113</v>
      </c>
      <c r="CC193" t="s">
        <v>517</v>
      </c>
    </row>
    <row r="194" spans="1:81" x14ac:dyDescent="0.25">
      <c r="A194" t="s">
        <v>81</v>
      </c>
      <c r="B194">
        <v>193</v>
      </c>
      <c r="C194">
        <v>36</v>
      </c>
      <c r="D194">
        <v>34</v>
      </c>
      <c r="E194">
        <v>31</v>
      </c>
      <c r="F194">
        <v>33</v>
      </c>
      <c r="G194">
        <v>81</v>
      </c>
      <c r="H194">
        <v>125</v>
      </c>
      <c r="I194" t="s">
        <v>490</v>
      </c>
      <c r="J194" t="s">
        <v>184</v>
      </c>
      <c r="L194" t="s">
        <v>502</v>
      </c>
      <c r="M194" t="s">
        <v>85</v>
      </c>
      <c r="O194" t="s">
        <v>14</v>
      </c>
      <c r="P194" t="s">
        <v>503</v>
      </c>
      <c r="Q194" t="s">
        <v>504</v>
      </c>
      <c r="R194">
        <v>1983</v>
      </c>
      <c r="S194" t="s">
        <v>505</v>
      </c>
      <c r="U194" t="s">
        <v>506</v>
      </c>
      <c r="V194" t="s">
        <v>507</v>
      </c>
      <c r="W194" t="s">
        <v>91</v>
      </c>
      <c r="X194" t="s">
        <v>508</v>
      </c>
      <c r="Y194" t="s">
        <v>509</v>
      </c>
      <c r="Z194" t="s">
        <v>510</v>
      </c>
      <c r="AA194" t="s">
        <v>511</v>
      </c>
      <c r="AB194" t="s">
        <v>512</v>
      </c>
      <c r="AC194" t="s">
        <v>513</v>
      </c>
      <c r="AD194" t="s">
        <v>132</v>
      </c>
      <c r="AE194" t="s">
        <v>514</v>
      </c>
      <c r="AF194" t="s">
        <v>100</v>
      </c>
      <c r="AG194" t="s">
        <v>261</v>
      </c>
      <c r="AH194" t="s">
        <v>102</v>
      </c>
      <c r="AI194" t="s">
        <v>134</v>
      </c>
      <c r="AJ194" t="s">
        <v>135</v>
      </c>
      <c r="AM194" t="s">
        <v>178</v>
      </c>
      <c r="AN194" t="s">
        <v>106</v>
      </c>
      <c r="AR194" t="s">
        <v>317</v>
      </c>
      <c r="AS194">
        <v>1981</v>
      </c>
      <c r="AW194" t="s">
        <v>108</v>
      </c>
      <c r="AX194">
        <v>30</v>
      </c>
      <c r="AY194" t="s">
        <v>134</v>
      </c>
      <c r="AZ194" t="s">
        <v>109</v>
      </c>
      <c r="BA194" t="s">
        <v>180</v>
      </c>
      <c r="BB194">
        <v>25</v>
      </c>
      <c r="BC194">
        <v>30</v>
      </c>
      <c r="BD194">
        <v>0.2</v>
      </c>
      <c r="BE194" t="s">
        <v>139</v>
      </c>
      <c r="BG194">
        <v>1</v>
      </c>
      <c r="BP194">
        <v>12</v>
      </c>
      <c r="BS194" t="s">
        <v>515</v>
      </c>
      <c r="BU194" t="s">
        <v>518</v>
      </c>
      <c r="BV194">
        <v>41.702549599999998</v>
      </c>
      <c r="BW194">
        <v>0.41208150999999998</v>
      </c>
      <c r="BX194">
        <v>10</v>
      </c>
      <c r="BY194">
        <v>43.594900799999998</v>
      </c>
      <c r="BZ194">
        <v>0.12541611</v>
      </c>
      <c r="CA194">
        <v>10</v>
      </c>
      <c r="CB194" t="s">
        <v>113</v>
      </c>
      <c r="CC194" t="s">
        <v>517</v>
      </c>
    </row>
    <row r="195" spans="1:81" x14ac:dyDescent="0.25">
      <c r="A195" t="s">
        <v>81</v>
      </c>
      <c r="B195">
        <v>194</v>
      </c>
      <c r="C195">
        <v>36</v>
      </c>
      <c r="D195">
        <v>34</v>
      </c>
      <c r="E195">
        <v>31</v>
      </c>
      <c r="F195">
        <v>33</v>
      </c>
      <c r="G195">
        <v>81</v>
      </c>
      <c r="H195">
        <v>126</v>
      </c>
      <c r="I195" t="s">
        <v>490</v>
      </c>
      <c r="J195" t="s">
        <v>184</v>
      </c>
      <c r="L195" t="s">
        <v>502</v>
      </c>
      <c r="M195" t="s">
        <v>85</v>
      </c>
      <c r="O195" t="s">
        <v>14</v>
      </c>
      <c r="P195" t="s">
        <v>503</v>
      </c>
      <c r="Q195" t="s">
        <v>504</v>
      </c>
      <c r="R195">
        <v>1983</v>
      </c>
      <c r="S195" t="s">
        <v>505</v>
      </c>
      <c r="U195" t="s">
        <v>506</v>
      </c>
      <c r="V195" t="s">
        <v>507</v>
      </c>
      <c r="W195" t="s">
        <v>91</v>
      </c>
      <c r="X195" t="s">
        <v>508</v>
      </c>
      <c r="Y195" t="s">
        <v>509</v>
      </c>
      <c r="Z195" t="s">
        <v>510</v>
      </c>
      <c r="AA195" t="s">
        <v>511</v>
      </c>
      <c r="AB195" t="s">
        <v>512</v>
      </c>
      <c r="AC195" t="s">
        <v>513</v>
      </c>
      <c r="AD195" t="s">
        <v>132</v>
      </c>
      <c r="AE195" t="s">
        <v>514</v>
      </c>
      <c r="AF195" t="s">
        <v>100</v>
      </c>
      <c r="AG195" t="s">
        <v>261</v>
      </c>
      <c r="AH195" t="s">
        <v>102</v>
      </c>
      <c r="AI195" t="s">
        <v>134</v>
      </c>
      <c r="AJ195" t="s">
        <v>135</v>
      </c>
      <c r="AM195" t="s">
        <v>178</v>
      </c>
      <c r="AN195" t="s">
        <v>106</v>
      </c>
      <c r="AR195" t="s">
        <v>317</v>
      </c>
      <c r="AS195">
        <v>1981</v>
      </c>
      <c r="AW195" t="s">
        <v>108</v>
      </c>
      <c r="AX195">
        <v>30</v>
      </c>
      <c r="AY195" t="s">
        <v>134</v>
      </c>
      <c r="AZ195" t="s">
        <v>109</v>
      </c>
      <c r="BA195" t="s">
        <v>180</v>
      </c>
      <c r="BB195">
        <v>30</v>
      </c>
      <c r="BC195">
        <v>35</v>
      </c>
      <c r="BD195">
        <v>0.2</v>
      </c>
      <c r="BE195" t="s">
        <v>139</v>
      </c>
      <c r="BG195">
        <v>1</v>
      </c>
      <c r="BP195">
        <v>12</v>
      </c>
      <c r="BS195" t="s">
        <v>515</v>
      </c>
      <c r="BU195" t="s">
        <v>518</v>
      </c>
      <c r="BV195">
        <v>43.594900799999998</v>
      </c>
      <c r="BW195">
        <v>0.12541611</v>
      </c>
      <c r="BX195">
        <v>10</v>
      </c>
      <c r="BY195">
        <v>44.3314448</v>
      </c>
      <c r="BZ195">
        <v>7.1666350000000004E-2</v>
      </c>
      <c r="CA195">
        <v>10</v>
      </c>
      <c r="CB195" t="s">
        <v>113</v>
      </c>
      <c r="CC195" t="s">
        <v>517</v>
      </c>
    </row>
    <row r="196" spans="1:81" x14ac:dyDescent="0.25">
      <c r="A196" t="s">
        <v>81</v>
      </c>
      <c r="B196">
        <v>195</v>
      </c>
      <c r="C196">
        <v>36</v>
      </c>
      <c r="D196">
        <v>34</v>
      </c>
      <c r="E196">
        <v>31</v>
      </c>
      <c r="F196">
        <v>33</v>
      </c>
      <c r="G196">
        <v>82</v>
      </c>
      <c r="H196">
        <v>127</v>
      </c>
      <c r="I196" t="s">
        <v>490</v>
      </c>
      <c r="J196" t="s">
        <v>184</v>
      </c>
      <c r="L196" t="s">
        <v>502</v>
      </c>
      <c r="M196" t="s">
        <v>85</v>
      </c>
      <c r="O196" t="s">
        <v>14</v>
      </c>
      <c r="P196" t="s">
        <v>503</v>
      </c>
      <c r="Q196" t="s">
        <v>504</v>
      </c>
      <c r="R196">
        <v>1983</v>
      </c>
      <c r="S196" t="s">
        <v>505</v>
      </c>
      <c r="U196" t="s">
        <v>506</v>
      </c>
      <c r="V196" t="s">
        <v>507</v>
      </c>
      <c r="W196" t="s">
        <v>91</v>
      </c>
      <c r="X196" t="s">
        <v>508</v>
      </c>
      <c r="Y196" t="s">
        <v>509</v>
      </c>
      <c r="Z196" t="s">
        <v>510</v>
      </c>
      <c r="AA196" t="s">
        <v>511</v>
      </c>
      <c r="AB196" t="s">
        <v>512</v>
      </c>
      <c r="AC196" t="s">
        <v>513</v>
      </c>
      <c r="AD196" t="s">
        <v>132</v>
      </c>
      <c r="AE196" t="s">
        <v>514</v>
      </c>
      <c r="AF196" t="s">
        <v>100</v>
      </c>
      <c r="AG196" t="s">
        <v>261</v>
      </c>
      <c r="AH196" t="s">
        <v>102</v>
      </c>
      <c r="AI196" t="s">
        <v>134</v>
      </c>
      <c r="AJ196" t="s">
        <v>135</v>
      </c>
      <c r="AM196" t="s">
        <v>178</v>
      </c>
      <c r="AN196" t="s">
        <v>106</v>
      </c>
      <c r="AR196" t="s">
        <v>317</v>
      </c>
      <c r="AS196">
        <v>1981</v>
      </c>
      <c r="AW196" t="s">
        <v>108</v>
      </c>
      <c r="AX196">
        <v>30</v>
      </c>
      <c r="AY196" t="s">
        <v>134</v>
      </c>
      <c r="AZ196" t="s">
        <v>109</v>
      </c>
      <c r="BA196" t="s">
        <v>180</v>
      </c>
      <c r="BB196">
        <v>25</v>
      </c>
      <c r="BC196">
        <v>30</v>
      </c>
      <c r="BD196">
        <v>0.2</v>
      </c>
      <c r="BE196" t="s">
        <v>139</v>
      </c>
      <c r="BG196">
        <v>1</v>
      </c>
      <c r="BP196">
        <v>12</v>
      </c>
      <c r="BS196" t="s">
        <v>515</v>
      </c>
      <c r="BU196" t="s">
        <v>519</v>
      </c>
      <c r="BV196">
        <v>42.2464589</v>
      </c>
      <c r="BW196">
        <v>0.25083221999999999</v>
      </c>
      <c r="BX196">
        <v>10</v>
      </c>
      <c r="BY196">
        <v>43.923512700000003</v>
      </c>
      <c r="BZ196">
        <v>0.23291563500000001</v>
      </c>
      <c r="CA196">
        <v>10</v>
      </c>
      <c r="CB196" t="s">
        <v>113</v>
      </c>
      <c r="CC196" t="s">
        <v>517</v>
      </c>
    </row>
    <row r="197" spans="1:81" x14ac:dyDescent="0.25">
      <c r="A197" t="s">
        <v>81</v>
      </c>
      <c r="B197">
        <v>196</v>
      </c>
      <c r="C197">
        <v>36</v>
      </c>
      <c r="D197">
        <v>34</v>
      </c>
      <c r="E197">
        <v>31</v>
      </c>
      <c r="F197">
        <v>33</v>
      </c>
      <c r="G197">
        <v>82</v>
      </c>
      <c r="H197">
        <v>128</v>
      </c>
      <c r="I197" t="s">
        <v>490</v>
      </c>
      <c r="J197" t="s">
        <v>184</v>
      </c>
      <c r="L197" t="s">
        <v>502</v>
      </c>
      <c r="M197" t="s">
        <v>85</v>
      </c>
      <c r="O197" t="s">
        <v>14</v>
      </c>
      <c r="P197" t="s">
        <v>503</v>
      </c>
      <c r="Q197" t="s">
        <v>504</v>
      </c>
      <c r="R197">
        <v>1983</v>
      </c>
      <c r="S197" t="s">
        <v>505</v>
      </c>
      <c r="U197" t="s">
        <v>506</v>
      </c>
      <c r="V197" t="s">
        <v>507</v>
      </c>
      <c r="W197" t="s">
        <v>91</v>
      </c>
      <c r="X197" t="s">
        <v>508</v>
      </c>
      <c r="Y197" t="s">
        <v>509</v>
      </c>
      <c r="Z197" t="s">
        <v>510</v>
      </c>
      <c r="AA197" t="s">
        <v>511</v>
      </c>
      <c r="AB197" t="s">
        <v>512</v>
      </c>
      <c r="AC197" t="s">
        <v>513</v>
      </c>
      <c r="AD197" t="s">
        <v>132</v>
      </c>
      <c r="AE197" t="s">
        <v>514</v>
      </c>
      <c r="AF197" t="s">
        <v>100</v>
      </c>
      <c r="AG197" t="s">
        <v>261</v>
      </c>
      <c r="AH197" t="s">
        <v>102</v>
      </c>
      <c r="AI197" t="s">
        <v>134</v>
      </c>
      <c r="AJ197" t="s">
        <v>135</v>
      </c>
      <c r="AM197" t="s">
        <v>178</v>
      </c>
      <c r="AN197" t="s">
        <v>106</v>
      </c>
      <c r="AR197" t="s">
        <v>317</v>
      </c>
      <c r="AS197">
        <v>1981</v>
      </c>
      <c r="AW197" t="s">
        <v>108</v>
      </c>
      <c r="AX197">
        <v>30</v>
      </c>
      <c r="AY197" t="s">
        <v>134</v>
      </c>
      <c r="AZ197" t="s">
        <v>109</v>
      </c>
      <c r="BA197" t="s">
        <v>180</v>
      </c>
      <c r="BB197">
        <v>30</v>
      </c>
      <c r="BC197">
        <v>35</v>
      </c>
      <c r="BD197">
        <v>0.2</v>
      </c>
      <c r="BE197" t="s">
        <v>139</v>
      </c>
      <c r="BG197">
        <v>1</v>
      </c>
      <c r="BP197">
        <v>12</v>
      </c>
      <c r="BS197" t="s">
        <v>515</v>
      </c>
      <c r="BU197" t="s">
        <v>519</v>
      </c>
      <c r="BV197">
        <v>43.923512700000003</v>
      </c>
      <c r="BW197">
        <v>0.23291563500000001</v>
      </c>
      <c r="BX197">
        <v>10</v>
      </c>
      <c r="BY197">
        <v>44.569405099999997</v>
      </c>
      <c r="BZ197">
        <v>0.107499525</v>
      </c>
      <c r="CA197">
        <v>10</v>
      </c>
      <c r="CB197" t="s">
        <v>113</v>
      </c>
      <c r="CC197" t="s">
        <v>517</v>
      </c>
    </row>
    <row r="198" spans="1:81" x14ac:dyDescent="0.25">
      <c r="A198" t="s">
        <v>81</v>
      </c>
      <c r="B198">
        <v>197</v>
      </c>
      <c r="C198">
        <v>36</v>
      </c>
      <c r="D198">
        <v>34</v>
      </c>
      <c r="E198">
        <v>31</v>
      </c>
      <c r="F198">
        <v>33</v>
      </c>
      <c r="G198">
        <v>83</v>
      </c>
      <c r="H198">
        <v>129</v>
      </c>
      <c r="I198" t="s">
        <v>490</v>
      </c>
      <c r="J198" t="s">
        <v>184</v>
      </c>
      <c r="L198" t="s">
        <v>502</v>
      </c>
      <c r="M198" t="s">
        <v>85</v>
      </c>
      <c r="O198" t="s">
        <v>14</v>
      </c>
      <c r="P198" t="s">
        <v>503</v>
      </c>
      <c r="Q198" t="s">
        <v>504</v>
      </c>
      <c r="R198">
        <v>1983</v>
      </c>
      <c r="S198" t="s">
        <v>505</v>
      </c>
      <c r="U198" t="s">
        <v>506</v>
      </c>
      <c r="V198" t="s">
        <v>507</v>
      </c>
      <c r="W198" t="s">
        <v>91</v>
      </c>
      <c r="X198" t="s">
        <v>508</v>
      </c>
      <c r="Y198" t="s">
        <v>509</v>
      </c>
      <c r="Z198" t="s">
        <v>510</v>
      </c>
      <c r="AA198" t="s">
        <v>511</v>
      </c>
      <c r="AB198" t="s">
        <v>512</v>
      </c>
      <c r="AC198" t="s">
        <v>513</v>
      </c>
      <c r="AD198" t="s">
        <v>132</v>
      </c>
      <c r="AE198" t="s">
        <v>514</v>
      </c>
      <c r="AF198" t="s">
        <v>100</v>
      </c>
      <c r="AG198" t="s">
        <v>261</v>
      </c>
      <c r="AH198" t="s">
        <v>102</v>
      </c>
      <c r="AI198" t="s">
        <v>134</v>
      </c>
      <c r="AJ198" t="s">
        <v>135</v>
      </c>
      <c r="AM198" t="s">
        <v>178</v>
      </c>
      <c r="AN198" t="s">
        <v>106</v>
      </c>
      <c r="AR198" t="s">
        <v>317</v>
      </c>
      <c r="AS198">
        <v>1981</v>
      </c>
      <c r="AW198" t="s">
        <v>108</v>
      </c>
      <c r="AX198">
        <v>30</v>
      </c>
      <c r="AY198" t="s">
        <v>134</v>
      </c>
      <c r="AZ198" t="s">
        <v>109</v>
      </c>
      <c r="BA198" t="s">
        <v>180</v>
      </c>
      <c r="BB198">
        <v>25</v>
      </c>
      <c r="BC198">
        <v>30</v>
      </c>
      <c r="BD198">
        <v>0.2</v>
      </c>
      <c r="BE198" t="s">
        <v>139</v>
      </c>
      <c r="BG198">
        <v>1</v>
      </c>
      <c r="BP198">
        <v>12</v>
      </c>
      <c r="BS198" t="s">
        <v>515</v>
      </c>
      <c r="BU198" t="s">
        <v>520</v>
      </c>
      <c r="BV198">
        <v>42.337110500000001</v>
      </c>
      <c r="BW198">
        <v>7.1666350000000004E-2</v>
      </c>
      <c r="BX198">
        <v>10</v>
      </c>
      <c r="BY198">
        <v>43.787535400000003</v>
      </c>
      <c r="BZ198">
        <v>0.14333270000000001</v>
      </c>
      <c r="CA198">
        <v>10</v>
      </c>
      <c r="CB198" t="s">
        <v>113</v>
      </c>
      <c r="CC198" t="s">
        <v>517</v>
      </c>
    </row>
    <row r="199" spans="1:81" x14ac:dyDescent="0.25">
      <c r="A199" t="s">
        <v>81</v>
      </c>
      <c r="B199">
        <v>198</v>
      </c>
      <c r="C199">
        <v>36</v>
      </c>
      <c r="D199">
        <v>34</v>
      </c>
      <c r="E199">
        <v>31</v>
      </c>
      <c r="F199">
        <v>33</v>
      </c>
      <c r="G199">
        <v>83</v>
      </c>
      <c r="H199">
        <v>130</v>
      </c>
      <c r="I199" t="s">
        <v>490</v>
      </c>
      <c r="J199" t="s">
        <v>184</v>
      </c>
      <c r="L199" t="s">
        <v>502</v>
      </c>
      <c r="M199" t="s">
        <v>85</v>
      </c>
      <c r="O199" t="s">
        <v>14</v>
      </c>
      <c r="P199" t="s">
        <v>503</v>
      </c>
      <c r="Q199" t="s">
        <v>504</v>
      </c>
      <c r="R199">
        <v>1983</v>
      </c>
      <c r="S199" t="s">
        <v>505</v>
      </c>
      <c r="U199" t="s">
        <v>506</v>
      </c>
      <c r="V199" t="s">
        <v>507</v>
      </c>
      <c r="W199" t="s">
        <v>91</v>
      </c>
      <c r="X199" t="s">
        <v>508</v>
      </c>
      <c r="Y199" t="s">
        <v>509</v>
      </c>
      <c r="Z199" t="s">
        <v>510</v>
      </c>
      <c r="AA199" t="s">
        <v>511</v>
      </c>
      <c r="AB199" t="s">
        <v>512</v>
      </c>
      <c r="AC199" t="s">
        <v>513</v>
      </c>
      <c r="AD199" t="s">
        <v>132</v>
      </c>
      <c r="AE199" t="s">
        <v>514</v>
      </c>
      <c r="AF199" t="s">
        <v>100</v>
      </c>
      <c r="AG199" t="s">
        <v>261</v>
      </c>
      <c r="AH199" t="s">
        <v>102</v>
      </c>
      <c r="AI199" t="s">
        <v>134</v>
      </c>
      <c r="AJ199" t="s">
        <v>135</v>
      </c>
      <c r="AM199" t="s">
        <v>178</v>
      </c>
      <c r="AN199" t="s">
        <v>106</v>
      </c>
      <c r="AR199" t="s">
        <v>317</v>
      </c>
      <c r="AS199">
        <v>1981</v>
      </c>
      <c r="AW199" t="s">
        <v>108</v>
      </c>
      <c r="AX199">
        <v>30</v>
      </c>
      <c r="AY199" t="s">
        <v>134</v>
      </c>
      <c r="AZ199" t="s">
        <v>109</v>
      </c>
      <c r="BA199" t="s">
        <v>180</v>
      </c>
      <c r="BB199">
        <v>30</v>
      </c>
      <c r="BC199">
        <v>35</v>
      </c>
      <c r="BD199">
        <v>0.2</v>
      </c>
      <c r="BE199" t="s">
        <v>139</v>
      </c>
      <c r="BG199">
        <v>1</v>
      </c>
      <c r="BP199">
        <v>12</v>
      </c>
      <c r="BS199" t="s">
        <v>515</v>
      </c>
      <c r="BU199" t="s">
        <v>520</v>
      </c>
      <c r="BV199">
        <v>43.787535400000003</v>
      </c>
      <c r="BW199">
        <v>0.14333270000000001</v>
      </c>
      <c r="BX199">
        <v>10</v>
      </c>
      <c r="BY199">
        <v>44.909348399999999</v>
      </c>
      <c r="BZ199">
        <v>0.14333270000000001</v>
      </c>
      <c r="CA199">
        <v>10</v>
      </c>
      <c r="CB199" t="s">
        <v>113</v>
      </c>
      <c r="CC199" t="s">
        <v>517</v>
      </c>
    </row>
    <row r="200" spans="1:81" x14ac:dyDescent="0.25">
      <c r="A200" t="s">
        <v>81</v>
      </c>
      <c r="B200">
        <v>199</v>
      </c>
      <c r="C200">
        <v>36</v>
      </c>
      <c r="D200">
        <v>34</v>
      </c>
      <c r="E200">
        <v>31</v>
      </c>
      <c r="F200">
        <v>33</v>
      </c>
      <c r="G200">
        <v>84</v>
      </c>
      <c r="H200">
        <v>131</v>
      </c>
      <c r="I200" t="s">
        <v>490</v>
      </c>
      <c r="J200" t="s">
        <v>184</v>
      </c>
      <c r="L200" t="s">
        <v>502</v>
      </c>
      <c r="M200" t="s">
        <v>85</v>
      </c>
      <c r="O200" t="s">
        <v>14</v>
      </c>
      <c r="P200" t="s">
        <v>503</v>
      </c>
      <c r="Q200" t="s">
        <v>504</v>
      </c>
      <c r="R200">
        <v>1983</v>
      </c>
      <c r="S200" t="s">
        <v>505</v>
      </c>
      <c r="U200" t="s">
        <v>506</v>
      </c>
      <c r="V200" t="s">
        <v>507</v>
      </c>
      <c r="W200" t="s">
        <v>91</v>
      </c>
      <c r="X200" t="s">
        <v>508</v>
      </c>
      <c r="Y200" t="s">
        <v>509</v>
      </c>
      <c r="Z200" t="s">
        <v>510</v>
      </c>
      <c r="AA200" t="s">
        <v>511</v>
      </c>
      <c r="AB200" t="s">
        <v>512</v>
      </c>
      <c r="AC200" t="s">
        <v>513</v>
      </c>
      <c r="AD200" t="s">
        <v>132</v>
      </c>
      <c r="AE200" t="s">
        <v>514</v>
      </c>
      <c r="AF200" t="s">
        <v>100</v>
      </c>
      <c r="AG200" t="s">
        <v>261</v>
      </c>
      <c r="AH200" t="s">
        <v>102</v>
      </c>
      <c r="AI200" t="s">
        <v>134</v>
      </c>
      <c r="AJ200" t="s">
        <v>135</v>
      </c>
      <c r="AM200" t="s">
        <v>178</v>
      </c>
      <c r="AN200" t="s">
        <v>106</v>
      </c>
      <c r="AR200" t="s">
        <v>317</v>
      </c>
      <c r="AS200">
        <v>1981</v>
      </c>
      <c r="AW200" t="s">
        <v>108</v>
      </c>
      <c r="AX200">
        <v>30</v>
      </c>
      <c r="AY200" t="s">
        <v>134</v>
      </c>
      <c r="AZ200" t="s">
        <v>109</v>
      </c>
      <c r="BA200" t="s">
        <v>180</v>
      </c>
      <c r="BB200">
        <v>25</v>
      </c>
      <c r="BC200">
        <v>30</v>
      </c>
      <c r="BD200">
        <v>0.2</v>
      </c>
      <c r="BE200" t="s">
        <v>139</v>
      </c>
      <c r="BG200">
        <v>1</v>
      </c>
      <c r="BP200">
        <v>12</v>
      </c>
      <c r="BS200" t="s">
        <v>515</v>
      </c>
      <c r="BU200" t="s">
        <v>521</v>
      </c>
      <c r="BV200">
        <v>42.291784700000001</v>
      </c>
      <c r="BW200">
        <v>0.12541611</v>
      </c>
      <c r="BX200">
        <v>10</v>
      </c>
      <c r="BY200">
        <v>43.730878199999999</v>
      </c>
      <c r="BZ200">
        <v>3.5833175000000002E-2</v>
      </c>
      <c r="CA200">
        <v>10</v>
      </c>
      <c r="CB200" t="s">
        <v>113</v>
      </c>
      <c r="CC200" t="s">
        <v>517</v>
      </c>
    </row>
    <row r="201" spans="1:81" x14ac:dyDescent="0.25">
      <c r="A201" t="s">
        <v>81</v>
      </c>
      <c r="B201">
        <v>200</v>
      </c>
      <c r="C201">
        <v>36</v>
      </c>
      <c r="D201">
        <v>34</v>
      </c>
      <c r="E201">
        <v>31</v>
      </c>
      <c r="F201">
        <v>33</v>
      </c>
      <c r="G201">
        <v>84</v>
      </c>
      <c r="H201">
        <v>132</v>
      </c>
      <c r="I201" t="s">
        <v>490</v>
      </c>
      <c r="J201" t="s">
        <v>184</v>
      </c>
      <c r="L201" t="s">
        <v>502</v>
      </c>
      <c r="M201" t="s">
        <v>85</v>
      </c>
      <c r="O201" t="s">
        <v>14</v>
      </c>
      <c r="P201" t="s">
        <v>503</v>
      </c>
      <c r="Q201" t="s">
        <v>504</v>
      </c>
      <c r="R201">
        <v>1983</v>
      </c>
      <c r="S201" t="s">
        <v>505</v>
      </c>
      <c r="U201" t="s">
        <v>506</v>
      </c>
      <c r="V201" t="s">
        <v>507</v>
      </c>
      <c r="W201" t="s">
        <v>91</v>
      </c>
      <c r="X201" t="s">
        <v>508</v>
      </c>
      <c r="Y201" t="s">
        <v>509</v>
      </c>
      <c r="Z201" t="s">
        <v>510</v>
      </c>
      <c r="AA201" t="s">
        <v>511</v>
      </c>
      <c r="AB201" t="s">
        <v>512</v>
      </c>
      <c r="AC201" t="s">
        <v>513</v>
      </c>
      <c r="AD201" t="s">
        <v>132</v>
      </c>
      <c r="AE201" t="s">
        <v>514</v>
      </c>
      <c r="AF201" t="s">
        <v>100</v>
      </c>
      <c r="AG201" t="s">
        <v>261</v>
      </c>
      <c r="AH201" t="s">
        <v>102</v>
      </c>
      <c r="AI201" t="s">
        <v>134</v>
      </c>
      <c r="AJ201" t="s">
        <v>135</v>
      </c>
      <c r="AM201" t="s">
        <v>178</v>
      </c>
      <c r="AN201" t="s">
        <v>106</v>
      </c>
      <c r="AR201" t="s">
        <v>317</v>
      </c>
      <c r="AS201">
        <v>1981</v>
      </c>
      <c r="AW201" t="s">
        <v>108</v>
      </c>
      <c r="AX201">
        <v>30</v>
      </c>
      <c r="AY201" t="s">
        <v>134</v>
      </c>
      <c r="AZ201" t="s">
        <v>109</v>
      </c>
      <c r="BA201" t="s">
        <v>180</v>
      </c>
      <c r="BB201">
        <v>30</v>
      </c>
      <c r="BC201">
        <v>35</v>
      </c>
      <c r="BD201">
        <v>0.2</v>
      </c>
      <c r="BE201" t="s">
        <v>139</v>
      </c>
      <c r="BG201">
        <v>1</v>
      </c>
      <c r="BP201">
        <v>12</v>
      </c>
      <c r="BS201" t="s">
        <v>515</v>
      </c>
      <c r="BU201" t="s">
        <v>521</v>
      </c>
      <c r="BV201">
        <v>43.730878199999999</v>
      </c>
      <c r="BW201">
        <v>3.5833175000000002E-2</v>
      </c>
      <c r="BX201">
        <v>10</v>
      </c>
      <c r="BY201">
        <v>44.478753500000003</v>
      </c>
      <c r="BZ201">
        <v>0.12541611</v>
      </c>
      <c r="CA201">
        <v>10</v>
      </c>
      <c r="CB201" t="s">
        <v>113</v>
      </c>
      <c r="CC201" t="s">
        <v>517</v>
      </c>
    </row>
    <row r="202" spans="1:81" x14ac:dyDescent="0.25">
      <c r="A202" t="s">
        <v>81</v>
      </c>
      <c r="B202">
        <v>201</v>
      </c>
      <c r="C202">
        <v>36</v>
      </c>
      <c r="D202">
        <v>34</v>
      </c>
      <c r="E202">
        <v>31</v>
      </c>
      <c r="F202">
        <v>33</v>
      </c>
      <c r="G202">
        <v>85</v>
      </c>
      <c r="H202">
        <v>133</v>
      </c>
      <c r="I202" t="s">
        <v>490</v>
      </c>
      <c r="J202" t="s">
        <v>184</v>
      </c>
      <c r="L202" t="s">
        <v>502</v>
      </c>
      <c r="M202" t="s">
        <v>85</v>
      </c>
      <c r="O202" t="s">
        <v>14</v>
      </c>
      <c r="P202" t="s">
        <v>503</v>
      </c>
      <c r="Q202" t="s">
        <v>504</v>
      </c>
      <c r="R202">
        <v>1983</v>
      </c>
      <c r="S202" t="s">
        <v>505</v>
      </c>
      <c r="U202" t="s">
        <v>506</v>
      </c>
      <c r="V202" t="s">
        <v>507</v>
      </c>
      <c r="W202" t="s">
        <v>91</v>
      </c>
      <c r="X202" t="s">
        <v>508</v>
      </c>
      <c r="Y202" t="s">
        <v>509</v>
      </c>
      <c r="Z202" t="s">
        <v>510</v>
      </c>
      <c r="AA202" t="s">
        <v>511</v>
      </c>
      <c r="AB202" t="s">
        <v>512</v>
      </c>
      <c r="AC202" t="s">
        <v>513</v>
      </c>
      <c r="AD202" t="s">
        <v>132</v>
      </c>
      <c r="AE202" t="s">
        <v>514</v>
      </c>
      <c r="AF202" t="s">
        <v>100</v>
      </c>
      <c r="AG202" t="s">
        <v>261</v>
      </c>
      <c r="AH202" t="s">
        <v>102</v>
      </c>
      <c r="AI202" t="s">
        <v>134</v>
      </c>
      <c r="AJ202" t="s">
        <v>135</v>
      </c>
      <c r="AM202" t="s">
        <v>178</v>
      </c>
      <c r="AN202" t="s">
        <v>106</v>
      </c>
      <c r="AR202" t="s">
        <v>317</v>
      </c>
      <c r="AS202">
        <v>1981</v>
      </c>
      <c r="AW202" t="s">
        <v>108</v>
      </c>
      <c r="AX202">
        <v>30</v>
      </c>
      <c r="AY202" t="s">
        <v>134</v>
      </c>
      <c r="AZ202" t="s">
        <v>109</v>
      </c>
      <c r="BA202" t="s">
        <v>180</v>
      </c>
      <c r="BB202">
        <v>25</v>
      </c>
      <c r="BC202">
        <v>30</v>
      </c>
      <c r="BD202">
        <v>0.2</v>
      </c>
      <c r="BE202" t="s">
        <v>139</v>
      </c>
      <c r="BG202">
        <v>1</v>
      </c>
      <c r="BP202">
        <v>12</v>
      </c>
      <c r="BS202" t="s">
        <v>515</v>
      </c>
      <c r="BU202" t="s">
        <v>522</v>
      </c>
      <c r="BV202">
        <v>42.008498600000003</v>
      </c>
      <c r="BW202">
        <v>0.32249856999999998</v>
      </c>
      <c r="BX202">
        <v>10</v>
      </c>
      <c r="BY202">
        <v>43.8668555</v>
      </c>
      <c r="BZ202">
        <v>5.3749760000000001E-2</v>
      </c>
      <c r="CA202">
        <v>10</v>
      </c>
      <c r="CB202" t="s">
        <v>113</v>
      </c>
      <c r="CC202" t="s">
        <v>517</v>
      </c>
    </row>
    <row r="203" spans="1:81" x14ac:dyDescent="0.25">
      <c r="A203" t="s">
        <v>81</v>
      </c>
      <c r="B203">
        <v>202</v>
      </c>
      <c r="C203">
        <v>36</v>
      </c>
      <c r="D203">
        <v>34</v>
      </c>
      <c r="E203">
        <v>31</v>
      </c>
      <c r="F203">
        <v>33</v>
      </c>
      <c r="G203">
        <v>85</v>
      </c>
      <c r="H203">
        <v>134</v>
      </c>
      <c r="I203" t="s">
        <v>490</v>
      </c>
      <c r="J203" t="s">
        <v>184</v>
      </c>
      <c r="L203" t="s">
        <v>502</v>
      </c>
      <c r="M203" t="s">
        <v>85</v>
      </c>
      <c r="O203" t="s">
        <v>14</v>
      </c>
      <c r="P203" t="s">
        <v>503</v>
      </c>
      <c r="Q203" t="s">
        <v>504</v>
      </c>
      <c r="R203">
        <v>1983</v>
      </c>
      <c r="S203" t="s">
        <v>505</v>
      </c>
      <c r="U203" t="s">
        <v>506</v>
      </c>
      <c r="V203" t="s">
        <v>507</v>
      </c>
      <c r="W203" t="s">
        <v>91</v>
      </c>
      <c r="X203" t="s">
        <v>508</v>
      </c>
      <c r="Y203" t="s">
        <v>509</v>
      </c>
      <c r="Z203" t="s">
        <v>510</v>
      </c>
      <c r="AA203" t="s">
        <v>511</v>
      </c>
      <c r="AB203" t="s">
        <v>512</v>
      </c>
      <c r="AC203" t="s">
        <v>513</v>
      </c>
      <c r="AD203" t="s">
        <v>132</v>
      </c>
      <c r="AE203" t="s">
        <v>514</v>
      </c>
      <c r="AF203" t="s">
        <v>100</v>
      </c>
      <c r="AG203" t="s">
        <v>261</v>
      </c>
      <c r="AH203" t="s">
        <v>102</v>
      </c>
      <c r="AI203" t="s">
        <v>134</v>
      </c>
      <c r="AJ203" t="s">
        <v>135</v>
      </c>
      <c r="AM203" t="s">
        <v>178</v>
      </c>
      <c r="AN203" t="s">
        <v>106</v>
      </c>
      <c r="AR203" t="s">
        <v>317</v>
      </c>
      <c r="AS203">
        <v>1981</v>
      </c>
      <c r="AW203" t="s">
        <v>108</v>
      </c>
      <c r="AX203">
        <v>30</v>
      </c>
      <c r="AY203" t="s">
        <v>134</v>
      </c>
      <c r="AZ203" t="s">
        <v>109</v>
      </c>
      <c r="BA203" t="s">
        <v>180</v>
      </c>
      <c r="BB203">
        <v>30</v>
      </c>
      <c r="BC203">
        <v>35</v>
      </c>
      <c r="BD203">
        <v>0.2</v>
      </c>
      <c r="BE203" t="s">
        <v>139</v>
      </c>
      <c r="BG203">
        <v>1</v>
      </c>
      <c r="BP203">
        <v>12</v>
      </c>
      <c r="BS203" t="s">
        <v>515</v>
      </c>
      <c r="BU203" t="s">
        <v>522</v>
      </c>
      <c r="BV203">
        <v>43.8668555</v>
      </c>
      <c r="BW203">
        <v>5.3749760000000001E-2</v>
      </c>
      <c r="BX203">
        <v>10</v>
      </c>
      <c r="BY203">
        <v>44.614730899999998</v>
      </c>
      <c r="BZ203">
        <v>0.19708245999999999</v>
      </c>
      <c r="CA203">
        <v>10</v>
      </c>
      <c r="CB203" t="s">
        <v>113</v>
      </c>
      <c r="CC203" t="s">
        <v>517</v>
      </c>
    </row>
    <row r="204" spans="1:81" x14ac:dyDescent="0.25">
      <c r="A204" t="s">
        <v>81</v>
      </c>
      <c r="B204">
        <v>203</v>
      </c>
      <c r="C204">
        <v>36</v>
      </c>
      <c r="D204">
        <v>34</v>
      </c>
      <c r="E204">
        <v>31</v>
      </c>
      <c r="F204">
        <v>33</v>
      </c>
      <c r="G204">
        <v>86</v>
      </c>
      <c r="H204">
        <v>135</v>
      </c>
      <c r="I204" t="s">
        <v>490</v>
      </c>
      <c r="J204" t="s">
        <v>184</v>
      </c>
      <c r="L204" t="s">
        <v>502</v>
      </c>
      <c r="M204" t="s">
        <v>85</v>
      </c>
      <c r="O204" t="s">
        <v>14</v>
      </c>
      <c r="P204" t="s">
        <v>503</v>
      </c>
      <c r="Q204" t="s">
        <v>504</v>
      </c>
      <c r="R204">
        <v>1983</v>
      </c>
      <c r="S204" t="s">
        <v>505</v>
      </c>
      <c r="U204" t="s">
        <v>506</v>
      </c>
      <c r="V204" t="s">
        <v>507</v>
      </c>
      <c r="W204" t="s">
        <v>91</v>
      </c>
      <c r="X204" t="s">
        <v>508</v>
      </c>
      <c r="Y204" t="s">
        <v>509</v>
      </c>
      <c r="Z204" t="s">
        <v>510</v>
      </c>
      <c r="AA204" t="s">
        <v>511</v>
      </c>
      <c r="AB204" t="s">
        <v>512</v>
      </c>
      <c r="AC204" t="s">
        <v>513</v>
      </c>
      <c r="AD204" t="s">
        <v>132</v>
      </c>
      <c r="AE204" t="s">
        <v>514</v>
      </c>
      <c r="AF204" t="s">
        <v>100</v>
      </c>
      <c r="AG204" t="s">
        <v>261</v>
      </c>
      <c r="AH204" t="s">
        <v>102</v>
      </c>
      <c r="AI204" t="s">
        <v>134</v>
      </c>
      <c r="AJ204" t="s">
        <v>135</v>
      </c>
      <c r="AM204" t="s">
        <v>178</v>
      </c>
      <c r="AN204" t="s">
        <v>106</v>
      </c>
      <c r="AR204" t="s">
        <v>317</v>
      </c>
      <c r="AS204">
        <v>1981</v>
      </c>
      <c r="AW204" t="s">
        <v>108</v>
      </c>
      <c r="AX204">
        <v>30</v>
      </c>
      <c r="AY204" t="s">
        <v>134</v>
      </c>
      <c r="AZ204" t="s">
        <v>109</v>
      </c>
      <c r="BA204" t="s">
        <v>180</v>
      </c>
      <c r="BB204">
        <v>25</v>
      </c>
      <c r="BC204">
        <v>30</v>
      </c>
      <c r="BD204">
        <v>0.2</v>
      </c>
      <c r="BE204" t="s">
        <v>139</v>
      </c>
      <c r="BG204">
        <v>1</v>
      </c>
      <c r="BH204" s="14"/>
      <c r="BP204">
        <v>12</v>
      </c>
      <c r="BS204" t="s">
        <v>515</v>
      </c>
      <c r="BU204" t="s">
        <v>523</v>
      </c>
      <c r="BV204">
        <v>41.883852699999998</v>
      </c>
      <c r="BW204">
        <v>0.179165875</v>
      </c>
      <c r="BX204">
        <v>10</v>
      </c>
      <c r="BY204">
        <v>43.3569405</v>
      </c>
      <c r="BZ204">
        <v>0.107499525</v>
      </c>
      <c r="CA204">
        <v>10</v>
      </c>
      <c r="CB204" t="s">
        <v>113</v>
      </c>
      <c r="CC204" t="s">
        <v>517</v>
      </c>
    </row>
    <row r="205" spans="1:81" x14ac:dyDescent="0.25">
      <c r="A205" t="s">
        <v>81</v>
      </c>
      <c r="B205">
        <v>204</v>
      </c>
      <c r="C205">
        <v>36</v>
      </c>
      <c r="D205">
        <v>34</v>
      </c>
      <c r="E205">
        <v>31</v>
      </c>
      <c r="F205">
        <v>33</v>
      </c>
      <c r="G205">
        <v>86</v>
      </c>
      <c r="H205">
        <v>136</v>
      </c>
      <c r="I205" t="s">
        <v>490</v>
      </c>
      <c r="J205" t="s">
        <v>184</v>
      </c>
      <c r="L205" t="s">
        <v>502</v>
      </c>
      <c r="M205" t="s">
        <v>85</v>
      </c>
      <c r="O205" t="s">
        <v>14</v>
      </c>
      <c r="P205" t="s">
        <v>503</v>
      </c>
      <c r="Q205" t="s">
        <v>504</v>
      </c>
      <c r="R205">
        <v>1983</v>
      </c>
      <c r="S205" t="s">
        <v>505</v>
      </c>
      <c r="U205" t="s">
        <v>506</v>
      </c>
      <c r="V205" t="s">
        <v>507</v>
      </c>
      <c r="W205" t="s">
        <v>91</v>
      </c>
      <c r="X205" t="s">
        <v>508</v>
      </c>
      <c r="Y205" t="s">
        <v>509</v>
      </c>
      <c r="Z205" t="s">
        <v>510</v>
      </c>
      <c r="AA205" t="s">
        <v>511</v>
      </c>
      <c r="AB205" t="s">
        <v>512</v>
      </c>
      <c r="AC205" t="s">
        <v>513</v>
      </c>
      <c r="AD205" t="s">
        <v>132</v>
      </c>
      <c r="AE205" t="s">
        <v>514</v>
      </c>
      <c r="AF205" t="s">
        <v>100</v>
      </c>
      <c r="AG205" t="s">
        <v>261</v>
      </c>
      <c r="AH205" t="s">
        <v>102</v>
      </c>
      <c r="AI205" t="s">
        <v>134</v>
      </c>
      <c r="AJ205" t="s">
        <v>135</v>
      </c>
      <c r="AM205" t="s">
        <v>178</v>
      </c>
      <c r="AN205" t="s">
        <v>106</v>
      </c>
      <c r="AR205" t="s">
        <v>317</v>
      </c>
      <c r="AS205">
        <v>1981</v>
      </c>
      <c r="AW205" t="s">
        <v>108</v>
      </c>
      <c r="AX205">
        <v>30</v>
      </c>
      <c r="AY205" t="s">
        <v>134</v>
      </c>
      <c r="AZ205" t="s">
        <v>109</v>
      </c>
      <c r="BA205" t="s">
        <v>180</v>
      </c>
      <c r="BB205">
        <v>30</v>
      </c>
      <c r="BC205">
        <v>35</v>
      </c>
      <c r="BD205">
        <v>0.2</v>
      </c>
      <c r="BE205" t="s">
        <v>139</v>
      </c>
      <c r="BG205">
        <v>1</v>
      </c>
      <c r="BP205">
        <v>12</v>
      </c>
      <c r="BS205" t="s">
        <v>515</v>
      </c>
      <c r="BU205" t="s">
        <v>523</v>
      </c>
      <c r="BV205">
        <v>43.3569405</v>
      </c>
      <c r="BW205">
        <v>0.107499525</v>
      </c>
      <c r="BX205">
        <v>10</v>
      </c>
      <c r="BY205">
        <v>44.229461800000003</v>
      </c>
      <c r="BZ205">
        <v>7.1666350000000004E-2</v>
      </c>
      <c r="CA205">
        <v>10</v>
      </c>
      <c r="CB205" t="s">
        <v>113</v>
      </c>
      <c r="CC205" t="s">
        <v>517</v>
      </c>
    </row>
    <row r="206" spans="1:81" x14ac:dyDescent="0.25">
      <c r="A206" t="s">
        <v>81</v>
      </c>
      <c r="B206">
        <v>205</v>
      </c>
      <c r="C206">
        <v>36</v>
      </c>
      <c r="D206">
        <v>34</v>
      </c>
      <c r="E206">
        <v>31</v>
      </c>
      <c r="F206">
        <v>33</v>
      </c>
      <c r="G206">
        <v>87</v>
      </c>
      <c r="H206">
        <v>137</v>
      </c>
      <c r="I206" t="s">
        <v>490</v>
      </c>
      <c r="J206" t="s">
        <v>184</v>
      </c>
      <c r="L206" t="s">
        <v>502</v>
      </c>
      <c r="M206" t="s">
        <v>85</v>
      </c>
      <c r="O206" t="s">
        <v>14</v>
      </c>
      <c r="P206" t="s">
        <v>503</v>
      </c>
      <c r="Q206" t="s">
        <v>504</v>
      </c>
      <c r="R206">
        <v>1983</v>
      </c>
      <c r="S206" t="s">
        <v>505</v>
      </c>
      <c r="U206" t="s">
        <v>506</v>
      </c>
      <c r="V206" t="s">
        <v>507</v>
      </c>
      <c r="W206" t="s">
        <v>91</v>
      </c>
      <c r="X206" t="s">
        <v>508</v>
      </c>
      <c r="Y206" t="s">
        <v>509</v>
      </c>
      <c r="Z206" t="s">
        <v>510</v>
      </c>
      <c r="AA206" t="s">
        <v>511</v>
      </c>
      <c r="AB206" t="s">
        <v>512</v>
      </c>
      <c r="AC206" t="s">
        <v>513</v>
      </c>
      <c r="AD206" t="s">
        <v>132</v>
      </c>
      <c r="AE206" t="s">
        <v>514</v>
      </c>
      <c r="AF206" t="s">
        <v>100</v>
      </c>
      <c r="AG206" t="s">
        <v>261</v>
      </c>
      <c r="AH206" t="s">
        <v>102</v>
      </c>
      <c r="AI206" t="s">
        <v>134</v>
      </c>
      <c r="AJ206" t="s">
        <v>135</v>
      </c>
      <c r="AM206" t="s">
        <v>178</v>
      </c>
      <c r="AN206" t="s">
        <v>106</v>
      </c>
      <c r="AR206" t="s">
        <v>317</v>
      </c>
      <c r="AS206">
        <v>1981</v>
      </c>
      <c r="AW206" t="s">
        <v>108</v>
      </c>
      <c r="AX206">
        <v>30</v>
      </c>
      <c r="AY206" t="s">
        <v>134</v>
      </c>
      <c r="AZ206" t="s">
        <v>109</v>
      </c>
      <c r="BA206" t="s">
        <v>180</v>
      </c>
      <c r="BB206">
        <v>25</v>
      </c>
      <c r="BC206">
        <v>30</v>
      </c>
      <c r="BD206">
        <v>0.2</v>
      </c>
      <c r="BE206" t="s">
        <v>139</v>
      </c>
      <c r="BG206">
        <v>1</v>
      </c>
      <c r="BP206">
        <v>12</v>
      </c>
      <c r="BS206" t="s">
        <v>515</v>
      </c>
      <c r="BU206" t="s">
        <v>524</v>
      </c>
      <c r="BV206">
        <v>41.203966000000001</v>
      </c>
      <c r="BW206">
        <v>0.107499525</v>
      </c>
      <c r="BX206">
        <v>10</v>
      </c>
      <c r="BY206">
        <v>43.141643100000003</v>
      </c>
      <c r="BZ206">
        <v>0.21499905</v>
      </c>
      <c r="CA206">
        <v>10</v>
      </c>
      <c r="CB206" t="s">
        <v>113</v>
      </c>
      <c r="CC206" t="s">
        <v>517</v>
      </c>
    </row>
    <row r="207" spans="1:81" x14ac:dyDescent="0.25">
      <c r="A207" t="s">
        <v>81</v>
      </c>
      <c r="B207">
        <v>206</v>
      </c>
      <c r="C207">
        <v>36</v>
      </c>
      <c r="D207">
        <v>34</v>
      </c>
      <c r="E207">
        <v>31</v>
      </c>
      <c r="F207">
        <v>33</v>
      </c>
      <c r="G207">
        <v>87</v>
      </c>
      <c r="H207">
        <v>138</v>
      </c>
      <c r="I207" t="s">
        <v>490</v>
      </c>
      <c r="J207" t="s">
        <v>184</v>
      </c>
      <c r="L207" t="s">
        <v>502</v>
      </c>
      <c r="M207" t="s">
        <v>85</v>
      </c>
      <c r="O207" t="s">
        <v>14</v>
      </c>
      <c r="P207" t="s">
        <v>503</v>
      </c>
      <c r="Q207" t="s">
        <v>504</v>
      </c>
      <c r="R207">
        <v>1983</v>
      </c>
      <c r="S207" t="s">
        <v>505</v>
      </c>
      <c r="U207" t="s">
        <v>506</v>
      </c>
      <c r="V207" t="s">
        <v>507</v>
      </c>
      <c r="W207" t="s">
        <v>91</v>
      </c>
      <c r="X207" t="s">
        <v>508</v>
      </c>
      <c r="Y207" t="s">
        <v>509</v>
      </c>
      <c r="Z207" t="s">
        <v>510</v>
      </c>
      <c r="AA207" t="s">
        <v>511</v>
      </c>
      <c r="AB207" t="s">
        <v>512</v>
      </c>
      <c r="AC207" t="s">
        <v>513</v>
      </c>
      <c r="AD207" t="s">
        <v>132</v>
      </c>
      <c r="AE207" t="s">
        <v>514</v>
      </c>
      <c r="AF207" t="s">
        <v>100</v>
      </c>
      <c r="AG207" t="s">
        <v>261</v>
      </c>
      <c r="AH207" t="s">
        <v>102</v>
      </c>
      <c r="AI207" t="s">
        <v>134</v>
      </c>
      <c r="AJ207" t="s">
        <v>135</v>
      </c>
      <c r="AM207" t="s">
        <v>178</v>
      </c>
      <c r="AN207" t="s">
        <v>106</v>
      </c>
      <c r="AR207" t="s">
        <v>317</v>
      </c>
      <c r="AS207">
        <v>1981</v>
      </c>
      <c r="AW207" t="s">
        <v>108</v>
      </c>
      <c r="AX207">
        <v>30</v>
      </c>
      <c r="AY207" t="s">
        <v>134</v>
      </c>
      <c r="AZ207" t="s">
        <v>109</v>
      </c>
      <c r="BA207" t="s">
        <v>180</v>
      </c>
      <c r="BB207">
        <v>30</v>
      </c>
      <c r="BC207">
        <v>35</v>
      </c>
      <c r="BD207">
        <v>0.2</v>
      </c>
      <c r="BE207" t="s">
        <v>139</v>
      </c>
      <c r="BG207">
        <v>1</v>
      </c>
      <c r="BP207">
        <v>12</v>
      </c>
      <c r="BS207" t="s">
        <v>515</v>
      </c>
      <c r="BU207" t="s">
        <v>524</v>
      </c>
      <c r="BV207">
        <v>43.141643100000003</v>
      </c>
      <c r="BW207">
        <v>0.21499905</v>
      </c>
      <c r="BX207">
        <v>10</v>
      </c>
      <c r="BY207">
        <v>43.549575099999998</v>
      </c>
      <c r="BZ207">
        <v>0.46583127000000002</v>
      </c>
      <c r="CA207">
        <v>10</v>
      </c>
      <c r="CB207" t="s">
        <v>113</v>
      </c>
      <c r="CC207" t="s">
        <v>517</v>
      </c>
    </row>
    <row r="208" spans="1:81" x14ac:dyDescent="0.25">
      <c r="A208" t="s">
        <v>81</v>
      </c>
      <c r="B208">
        <v>207</v>
      </c>
      <c r="C208">
        <v>36</v>
      </c>
      <c r="D208">
        <v>34</v>
      </c>
      <c r="E208">
        <v>31</v>
      </c>
      <c r="F208">
        <v>33</v>
      </c>
      <c r="G208">
        <v>88</v>
      </c>
      <c r="H208">
        <v>139</v>
      </c>
      <c r="I208" t="s">
        <v>490</v>
      </c>
      <c r="J208" t="s">
        <v>184</v>
      </c>
      <c r="L208" t="s">
        <v>502</v>
      </c>
      <c r="M208" t="s">
        <v>85</v>
      </c>
      <c r="O208" t="s">
        <v>14</v>
      </c>
      <c r="P208" t="s">
        <v>503</v>
      </c>
      <c r="Q208" t="s">
        <v>504</v>
      </c>
      <c r="R208">
        <v>1983</v>
      </c>
      <c r="S208" t="s">
        <v>505</v>
      </c>
      <c r="U208" t="s">
        <v>506</v>
      </c>
      <c r="V208" t="s">
        <v>507</v>
      </c>
      <c r="W208" t="s">
        <v>91</v>
      </c>
      <c r="X208" t="s">
        <v>508</v>
      </c>
      <c r="Y208" t="s">
        <v>509</v>
      </c>
      <c r="Z208" t="s">
        <v>510</v>
      </c>
      <c r="AA208" t="s">
        <v>511</v>
      </c>
      <c r="AB208" t="s">
        <v>512</v>
      </c>
      <c r="AC208" t="s">
        <v>513</v>
      </c>
      <c r="AD208" t="s">
        <v>132</v>
      </c>
      <c r="AE208" t="s">
        <v>514</v>
      </c>
      <c r="AF208" t="s">
        <v>100</v>
      </c>
      <c r="AG208" t="s">
        <v>261</v>
      </c>
      <c r="AH208" t="s">
        <v>102</v>
      </c>
      <c r="AI208" t="s">
        <v>134</v>
      </c>
      <c r="AJ208" t="s">
        <v>135</v>
      </c>
      <c r="AM208" t="s">
        <v>178</v>
      </c>
      <c r="AN208" t="s">
        <v>106</v>
      </c>
      <c r="AR208" t="s">
        <v>317</v>
      </c>
      <c r="AS208">
        <v>1981</v>
      </c>
      <c r="AW208" t="s">
        <v>108</v>
      </c>
      <c r="AX208">
        <v>30</v>
      </c>
      <c r="AY208" t="s">
        <v>134</v>
      </c>
      <c r="AZ208" t="s">
        <v>109</v>
      </c>
      <c r="BA208" t="s">
        <v>180</v>
      </c>
      <c r="BB208">
        <v>25</v>
      </c>
      <c r="BC208">
        <v>30</v>
      </c>
      <c r="BD208">
        <v>0.2</v>
      </c>
      <c r="BE208" t="s">
        <v>139</v>
      </c>
      <c r="BG208">
        <v>1</v>
      </c>
      <c r="BP208">
        <v>12</v>
      </c>
      <c r="BS208" t="s">
        <v>515</v>
      </c>
      <c r="BU208" t="s">
        <v>525</v>
      </c>
      <c r="BV208">
        <v>40.716713900000002</v>
      </c>
      <c r="BW208">
        <v>0.179165875</v>
      </c>
      <c r="BX208">
        <v>10</v>
      </c>
      <c r="BY208">
        <v>41.045325800000001</v>
      </c>
      <c r="BZ208">
        <v>0.85999619000000005</v>
      </c>
      <c r="CA208">
        <v>10</v>
      </c>
      <c r="CB208" t="s">
        <v>113</v>
      </c>
      <c r="CC208" t="s">
        <v>517</v>
      </c>
    </row>
    <row r="209" spans="1:81" x14ac:dyDescent="0.25">
      <c r="A209" t="s">
        <v>81</v>
      </c>
      <c r="B209">
        <v>208</v>
      </c>
      <c r="C209">
        <v>36</v>
      </c>
      <c r="D209">
        <v>34</v>
      </c>
      <c r="E209">
        <v>31</v>
      </c>
      <c r="F209">
        <v>33</v>
      </c>
      <c r="G209">
        <v>88</v>
      </c>
      <c r="H209">
        <v>140</v>
      </c>
      <c r="I209" t="s">
        <v>490</v>
      </c>
      <c r="J209" t="s">
        <v>184</v>
      </c>
      <c r="L209" t="s">
        <v>502</v>
      </c>
      <c r="M209" t="s">
        <v>85</v>
      </c>
      <c r="O209" t="s">
        <v>14</v>
      </c>
      <c r="P209" t="s">
        <v>503</v>
      </c>
      <c r="Q209" t="s">
        <v>504</v>
      </c>
      <c r="R209">
        <v>1983</v>
      </c>
      <c r="S209" t="s">
        <v>505</v>
      </c>
      <c r="U209" t="s">
        <v>506</v>
      </c>
      <c r="V209" t="s">
        <v>507</v>
      </c>
      <c r="W209" t="s">
        <v>91</v>
      </c>
      <c r="X209" t="s">
        <v>508</v>
      </c>
      <c r="Y209" t="s">
        <v>509</v>
      </c>
      <c r="Z209" t="s">
        <v>510</v>
      </c>
      <c r="AA209" t="s">
        <v>511</v>
      </c>
      <c r="AB209" t="s">
        <v>512</v>
      </c>
      <c r="AC209" t="s">
        <v>513</v>
      </c>
      <c r="AD209" t="s">
        <v>132</v>
      </c>
      <c r="AE209" t="s">
        <v>514</v>
      </c>
      <c r="AF209" t="s">
        <v>100</v>
      </c>
      <c r="AG209" t="s">
        <v>261</v>
      </c>
      <c r="AH209" t="s">
        <v>102</v>
      </c>
      <c r="AI209" t="s">
        <v>134</v>
      </c>
      <c r="AJ209" t="s">
        <v>135</v>
      </c>
      <c r="AM209" t="s">
        <v>178</v>
      </c>
      <c r="AN209" t="s">
        <v>106</v>
      </c>
      <c r="AR209" t="s">
        <v>317</v>
      </c>
      <c r="AS209">
        <v>1981</v>
      </c>
      <c r="AW209" t="s">
        <v>108</v>
      </c>
      <c r="AX209">
        <v>30</v>
      </c>
      <c r="AY209" t="s">
        <v>134</v>
      </c>
      <c r="AZ209" t="s">
        <v>109</v>
      </c>
      <c r="BA209" t="s">
        <v>180</v>
      </c>
      <c r="BB209">
        <v>30</v>
      </c>
      <c r="BC209">
        <v>35</v>
      </c>
      <c r="BD209">
        <v>0.2</v>
      </c>
      <c r="BE209" t="s">
        <v>139</v>
      </c>
      <c r="BG209">
        <v>1</v>
      </c>
      <c r="BP209">
        <v>12</v>
      </c>
      <c r="BS209" t="s">
        <v>515</v>
      </c>
      <c r="BU209" t="s">
        <v>525</v>
      </c>
      <c r="BV209">
        <v>41.045325800000001</v>
      </c>
      <c r="BW209">
        <v>0.85999619000000005</v>
      </c>
      <c r="BX209">
        <v>10</v>
      </c>
      <c r="BY209">
        <v>42.6657224</v>
      </c>
      <c r="BZ209">
        <v>8.9582935000000002E-2</v>
      </c>
      <c r="CA209">
        <v>10</v>
      </c>
      <c r="CB209" t="s">
        <v>113</v>
      </c>
      <c r="CC209" t="s">
        <v>517</v>
      </c>
    </row>
    <row r="210" spans="1:81" x14ac:dyDescent="0.25">
      <c r="A210" t="s">
        <v>81</v>
      </c>
      <c r="B210">
        <v>209</v>
      </c>
      <c r="C210">
        <v>36</v>
      </c>
      <c r="D210">
        <v>34</v>
      </c>
      <c r="E210">
        <v>31</v>
      </c>
      <c r="F210">
        <v>33</v>
      </c>
      <c r="G210">
        <v>89</v>
      </c>
      <c r="H210">
        <v>141</v>
      </c>
      <c r="I210" t="s">
        <v>490</v>
      </c>
      <c r="J210" t="s">
        <v>184</v>
      </c>
      <c r="L210" t="s">
        <v>502</v>
      </c>
      <c r="M210" t="s">
        <v>85</v>
      </c>
      <c r="O210" t="s">
        <v>14</v>
      </c>
      <c r="P210" t="s">
        <v>503</v>
      </c>
      <c r="Q210" t="s">
        <v>504</v>
      </c>
      <c r="R210">
        <v>1983</v>
      </c>
      <c r="S210" t="s">
        <v>505</v>
      </c>
      <c r="U210" t="s">
        <v>506</v>
      </c>
      <c r="V210" t="s">
        <v>507</v>
      </c>
      <c r="W210" t="s">
        <v>91</v>
      </c>
      <c r="X210" t="s">
        <v>508</v>
      </c>
      <c r="Y210" t="s">
        <v>509</v>
      </c>
      <c r="Z210" t="s">
        <v>510</v>
      </c>
      <c r="AA210" t="s">
        <v>511</v>
      </c>
      <c r="AB210" t="s">
        <v>512</v>
      </c>
      <c r="AC210" t="s">
        <v>513</v>
      </c>
      <c r="AD210" t="s">
        <v>132</v>
      </c>
      <c r="AE210" t="s">
        <v>514</v>
      </c>
      <c r="AF210" t="s">
        <v>100</v>
      </c>
      <c r="AG210" t="s">
        <v>261</v>
      </c>
      <c r="AH210" t="s">
        <v>102</v>
      </c>
      <c r="AI210" t="s">
        <v>134</v>
      </c>
      <c r="AJ210" t="s">
        <v>135</v>
      </c>
      <c r="AM210" t="s">
        <v>178</v>
      </c>
      <c r="AN210" t="s">
        <v>106</v>
      </c>
      <c r="AR210" t="s">
        <v>317</v>
      </c>
      <c r="AS210">
        <v>1981</v>
      </c>
      <c r="AW210" t="s">
        <v>108</v>
      </c>
      <c r="AX210">
        <v>30</v>
      </c>
      <c r="AY210" t="s">
        <v>134</v>
      </c>
      <c r="AZ210" t="s">
        <v>109</v>
      </c>
      <c r="BA210" t="s">
        <v>180</v>
      </c>
      <c r="BB210">
        <v>25</v>
      </c>
      <c r="BC210">
        <v>30</v>
      </c>
      <c r="BD210">
        <v>0.2</v>
      </c>
      <c r="BE210" t="s">
        <v>139</v>
      </c>
      <c r="BG210">
        <v>1</v>
      </c>
      <c r="BH210" s="14"/>
      <c r="BP210">
        <v>12</v>
      </c>
      <c r="BS210" t="s">
        <v>515</v>
      </c>
      <c r="BU210" t="s">
        <v>526</v>
      </c>
      <c r="BV210">
        <v>37.872521200000001</v>
      </c>
      <c r="BW210">
        <v>0.19708245999999999</v>
      </c>
      <c r="BX210">
        <v>10</v>
      </c>
      <c r="BY210">
        <v>38.405099200000002</v>
      </c>
      <c r="BZ210">
        <v>0.55541420500000005</v>
      </c>
      <c r="CA210">
        <v>10</v>
      </c>
      <c r="CB210" t="s">
        <v>113</v>
      </c>
      <c r="CC210" t="s">
        <v>517</v>
      </c>
    </row>
    <row r="211" spans="1:81" x14ac:dyDescent="0.25">
      <c r="A211" t="s">
        <v>81</v>
      </c>
      <c r="B211">
        <v>210</v>
      </c>
      <c r="C211">
        <v>36</v>
      </c>
      <c r="D211">
        <v>34</v>
      </c>
      <c r="E211">
        <v>31</v>
      </c>
      <c r="F211">
        <v>33</v>
      </c>
      <c r="G211">
        <v>89</v>
      </c>
      <c r="H211">
        <v>142</v>
      </c>
      <c r="I211" t="s">
        <v>490</v>
      </c>
      <c r="J211" t="s">
        <v>184</v>
      </c>
      <c r="L211" t="s">
        <v>502</v>
      </c>
      <c r="M211" t="s">
        <v>85</v>
      </c>
      <c r="O211" t="s">
        <v>14</v>
      </c>
      <c r="P211" t="s">
        <v>503</v>
      </c>
      <c r="Q211" t="s">
        <v>504</v>
      </c>
      <c r="R211">
        <v>1983</v>
      </c>
      <c r="S211" t="s">
        <v>505</v>
      </c>
      <c r="U211" t="s">
        <v>506</v>
      </c>
      <c r="V211" t="s">
        <v>507</v>
      </c>
      <c r="W211" t="s">
        <v>91</v>
      </c>
      <c r="X211" t="s">
        <v>508</v>
      </c>
      <c r="Y211" t="s">
        <v>509</v>
      </c>
      <c r="Z211" t="s">
        <v>510</v>
      </c>
      <c r="AA211" t="s">
        <v>511</v>
      </c>
      <c r="AB211" t="s">
        <v>512</v>
      </c>
      <c r="AC211" t="s">
        <v>513</v>
      </c>
      <c r="AD211" t="s">
        <v>132</v>
      </c>
      <c r="AE211" t="s">
        <v>514</v>
      </c>
      <c r="AF211" t="s">
        <v>100</v>
      </c>
      <c r="AG211" t="s">
        <v>261</v>
      </c>
      <c r="AH211" t="s">
        <v>102</v>
      </c>
      <c r="AI211" t="s">
        <v>134</v>
      </c>
      <c r="AJ211" t="s">
        <v>135</v>
      </c>
      <c r="AM211" t="s">
        <v>178</v>
      </c>
      <c r="AN211" t="s">
        <v>106</v>
      </c>
      <c r="AR211" t="s">
        <v>317</v>
      </c>
      <c r="AS211">
        <v>1981</v>
      </c>
      <c r="AW211" t="s">
        <v>108</v>
      </c>
      <c r="AX211">
        <v>30</v>
      </c>
      <c r="AY211" t="s">
        <v>134</v>
      </c>
      <c r="AZ211" t="s">
        <v>109</v>
      </c>
      <c r="BA211" t="s">
        <v>180</v>
      </c>
      <c r="BB211">
        <v>30</v>
      </c>
      <c r="BC211">
        <v>35</v>
      </c>
      <c r="BD211">
        <v>0.2</v>
      </c>
      <c r="BE211" t="s">
        <v>139</v>
      </c>
      <c r="BG211">
        <v>1</v>
      </c>
      <c r="BP211">
        <v>12</v>
      </c>
      <c r="BS211" t="s">
        <v>515</v>
      </c>
      <c r="BU211" t="s">
        <v>526</v>
      </c>
      <c r="BV211">
        <v>38.405099200000002</v>
      </c>
      <c r="BW211">
        <v>0.55541420500000005</v>
      </c>
      <c r="BX211">
        <v>10</v>
      </c>
      <c r="BY211">
        <v>37.747875399999998</v>
      </c>
      <c r="BZ211">
        <v>0.69874690500000003</v>
      </c>
      <c r="CA211">
        <v>10</v>
      </c>
      <c r="CB211" t="s">
        <v>113</v>
      </c>
      <c r="CC211" t="s">
        <v>517</v>
      </c>
    </row>
    <row r="212" spans="1:81" x14ac:dyDescent="0.25">
      <c r="A212" t="s">
        <v>81</v>
      </c>
      <c r="B212">
        <v>211</v>
      </c>
      <c r="C212">
        <v>39</v>
      </c>
      <c r="D212">
        <v>36</v>
      </c>
      <c r="E212">
        <v>32</v>
      </c>
      <c r="F212">
        <v>34</v>
      </c>
      <c r="G212">
        <v>90</v>
      </c>
      <c r="H212">
        <v>143</v>
      </c>
      <c r="J212" t="s">
        <v>83</v>
      </c>
      <c r="K212" s="3" t="s">
        <v>527</v>
      </c>
      <c r="M212" t="s">
        <v>85</v>
      </c>
      <c r="N212" t="s">
        <v>528</v>
      </c>
      <c r="O212" t="s">
        <v>14</v>
      </c>
      <c r="P212" t="s">
        <v>529</v>
      </c>
      <c r="Q212" t="s">
        <v>530</v>
      </c>
      <c r="R212">
        <v>2015</v>
      </c>
      <c r="S212" t="s">
        <v>531</v>
      </c>
      <c r="U212" t="s">
        <v>532</v>
      </c>
      <c r="V212" t="s">
        <v>533</v>
      </c>
      <c r="W212" t="s">
        <v>91</v>
      </c>
      <c r="X212" t="s">
        <v>126</v>
      </c>
      <c r="Y212" t="s">
        <v>255</v>
      </c>
      <c r="Z212" t="s">
        <v>534</v>
      </c>
      <c r="AA212" t="s">
        <v>535</v>
      </c>
      <c r="AB212" t="s">
        <v>536</v>
      </c>
      <c r="AC212" t="s">
        <v>537</v>
      </c>
      <c r="AD212" t="s">
        <v>132</v>
      </c>
      <c r="AE212" t="s">
        <v>133</v>
      </c>
      <c r="AF212" t="s">
        <v>100</v>
      </c>
      <c r="AG212" t="s">
        <v>102</v>
      </c>
      <c r="AH212" t="s">
        <v>262</v>
      </c>
      <c r="AI212" t="s">
        <v>103</v>
      </c>
      <c r="AJ212" t="s">
        <v>135</v>
      </c>
      <c r="AK212">
        <v>7</v>
      </c>
      <c r="AL212">
        <v>25</v>
      </c>
      <c r="AM212" t="s">
        <v>229</v>
      </c>
      <c r="AN212" t="s">
        <v>106</v>
      </c>
      <c r="AU212">
        <f>(0.10565+0.09216429)/2</f>
        <v>9.8907145000000002E-2</v>
      </c>
      <c r="AW212" t="s">
        <v>538</v>
      </c>
      <c r="AY212" t="s">
        <v>134</v>
      </c>
      <c r="AZ212" t="s">
        <v>109</v>
      </c>
      <c r="BA212" t="s">
        <v>180</v>
      </c>
      <c r="BB212">
        <v>25</v>
      </c>
      <c r="BC212">
        <v>30</v>
      </c>
      <c r="BE212" t="s">
        <v>139</v>
      </c>
      <c r="BG212">
        <v>1</v>
      </c>
      <c r="BS212" t="s">
        <v>515</v>
      </c>
      <c r="BU212" t="s">
        <v>539</v>
      </c>
      <c r="BV212">
        <v>36.09375</v>
      </c>
      <c r="BW212">
        <v>3.9167109999999998</v>
      </c>
      <c r="BX212">
        <v>16</v>
      </c>
      <c r="BY212">
        <v>35</v>
      </c>
      <c r="BZ212">
        <v>4</v>
      </c>
      <c r="CA212">
        <v>14</v>
      </c>
      <c r="CB212" t="s">
        <v>113</v>
      </c>
      <c r="CC212" t="s">
        <v>365</v>
      </c>
    </row>
    <row r="213" spans="1:81" x14ac:dyDescent="0.25">
      <c r="A213" t="s">
        <v>81</v>
      </c>
      <c r="B213">
        <v>212</v>
      </c>
      <c r="C213">
        <v>39</v>
      </c>
      <c r="D213">
        <v>36</v>
      </c>
      <c r="E213">
        <v>32</v>
      </c>
      <c r="F213">
        <v>34</v>
      </c>
      <c r="G213">
        <v>91</v>
      </c>
      <c r="H213">
        <v>144</v>
      </c>
      <c r="J213" t="s">
        <v>83</v>
      </c>
      <c r="K213" s="3" t="s">
        <v>527</v>
      </c>
      <c r="M213" t="s">
        <v>85</v>
      </c>
      <c r="N213" t="s">
        <v>528</v>
      </c>
      <c r="O213" t="s">
        <v>14</v>
      </c>
      <c r="P213" t="s">
        <v>529</v>
      </c>
      <c r="Q213" t="s">
        <v>530</v>
      </c>
      <c r="R213">
        <v>2015</v>
      </c>
      <c r="S213" t="s">
        <v>531</v>
      </c>
      <c r="U213" t="s">
        <v>532</v>
      </c>
      <c r="V213" t="s">
        <v>533</v>
      </c>
      <c r="W213" t="s">
        <v>91</v>
      </c>
      <c r="X213" t="s">
        <v>126</v>
      </c>
      <c r="Y213" t="s">
        <v>255</v>
      </c>
      <c r="Z213" t="s">
        <v>534</v>
      </c>
      <c r="AA213" t="s">
        <v>535</v>
      </c>
      <c r="AB213" t="s">
        <v>536</v>
      </c>
      <c r="AC213" t="s">
        <v>537</v>
      </c>
      <c r="AD213" t="s">
        <v>132</v>
      </c>
      <c r="AE213" t="s">
        <v>133</v>
      </c>
      <c r="AF213" t="s">
        <v>100</v>
      </c>
      <c r="AG213" t="s">
        <v>102</v>
      </c>
      <c r="AH213" t="s">
        <v>262</v>
      </c>
      <c r="AI213" t="s">
        <v>103</v>
      </c>
      <c r="AJ213" t="s">
        <v>135</v>
      </c>
      <c r="AK213">
        <v>7</v>
      </c>
      <c r="AL213">
        <v>30</v>
      </c>
      <c r="AM213" t="s">
        <v>229</v>
      </c>
      <c r="AN213" t="s">
        <v>106</v>
      </c>
      <c r="AU213">
        <f>(0.08173333+0.0845)/2</f>
        <v>8.3116665000000006E-2</v>
      </c>
      <c r="AW213" t="s">
        <v>538</v>
      </c>
      <c r="AY213" t="s">
        <v>134</v>
      </c>
      <c r="AZ213" t="s">
        <v>109</v>
      </c>
      <c r="BA213" t="s">
        <v>180</v>
      </c>
      <c r="BB213">
        <v>25</v>
      </c>
      <c r="BC213">
        <v>30</v>
      </c>
      <c r="BE213" t="s">
        <v>139</v>
      </c>
      <c r="BG213">
        <v>1</v>
      </c>
      <c r="BS213" t="s">
        <v>515</v>
      </c>
      <c r="BU213" t="s">
        <v>540</v>
      </c>
      <c r="BV213">
        <v>38.166670000000003</v>
      </c>
      <c r="BW213">
        <v>2.1672492999999999</v>
      </c>
      <c r="BX213">
        <v>12</v>
      </c>
      <c r="BY213">
        <v>37.55556</v>
      </c>
      <c r="BZ213">
        <v>2.6509955999999999</v>
      </c>
      <c r="CA213">
        <v>9</v>
      </c>
      <c r="CB213" t="s">
        <v>113</v>
      </c>
      <c r="CC213" t="s">
        <v>365</v>
      </c>
    </row>
    <row r="214" spans="1:81" x14ac:dyDescent="0.25">
      <c r="A214" t="s">
        <v>81</v>
      </c>
      <c r="B214">
        <v>213</v>
      </c>
      <c r="C214">
        <v>39</v>
      </c>
      <c r="D214">
        <v>36</v>
      </c>
      <c r="E214">
        <v>32</v>
      </c>
      <c r="F214">
        <v>34</v>
      </c>
      <c r="G214">
        <v>92</v>
      </c>
      <c r="H214">
        <v>145</v>
      </c>
      <c r="J214" t="s">
        <v>83</v>
      </c>
      <c r="K214" s="3" t="s">
        <v>527</v>
      </c>
      <c r="M214" t="s">
        <v>85</v>
      </c>
      <c r="N214" t="s">
        <v>528</v>
      </c>
      <c r="O214" t="s">
        <v>14</v>
      </c>
      <c r="P214" t="s">
        <v>529</v>
      </c>
      <c r="Q214" t="s">
        <v>530</v>
      </c>
      <c r="R214">
        <v>2015</v>
      </c>
      <c r="S214" t="s">
        <v>531</v>
      </c>
      <c r="U214" t="s">
        <v>532</v>
      </c>
      <c r="V214" t="s">
        <v>533</v>
      </c>
      <c r="W214" t="s">
        <v>91</v>
      </c>
      <c r="X214" t="s">
        <v>126</v>
      </c>
      <c r="Y214" t="s">
        <v>255</v>
      </c>
      <c r="Z214" t="s">
        <v>534</v>
      </c>
      <c r="AA214" t="s">
        <v>535</v>
      </c>
      <c r="AB214" t="s">
        <v>536</v>
      </c>
      <c r="AC214" t="s">
        <v>537</v>
      </c>
      <c r="AD214" t="s">
        <v>132</v>
      </c>
      <c r="AE214" t="s">
        <v>133</v>
      </c>
      <c r="AF214" t="s">
        <v>100</v>
      </c>
      <c r="AG214" t="s">
        <v>102</v>
      </c>
      <c r="AH214" t="s">
        <v>262</v>
      </c>
      <c r="AI214" t="s">
        <v>103</v>
      </c>
      <c r="AJ214" t="s">
        <v>135</v>
      </c>
      <c r="AK214">
        <v>7</v>
      </c>
      <c r="AL214">
        <v>25</v>
      </c>
      <c r="AM214" t="s">
        <v>229</v>
      </c>
      <c r="AN214" t="s">
        <v>106</v>
      </c>
      <c r="AU214">
        <f>(0.04826667+0.06254286)/2</f>
        <v>5.5404765000000002E-2</v>
      </c>
      <c r="AW214" t="s">
        <v>538</v>
      </c>
      <c r="AY214" t="s">
        <v>134</v>
      </c>
      <c r="AZ214" t="s">
        <v>109</v>
      </c>
      <c r="BA214" t="s">
        <v>138</v>
      </c>
      <c r="BB214">
        <v>25</v>
      </c>
      <c r="BC214">
        <v>30</v>
      </c>
      <c r="BE214" t="s">
        <v>139</v>
      </c>
      <c r="BG214">
        <v>1</v>
      </c>
      <c r="BS214" t="s">
        <v>515</v>
      </c>
      <c r="BU214" t="s">
        <v>541</v>
      </c>
      <c r="BV214">
        <v>40.47222</v>
      </c>
      <c r="BW214">
        <v>0.46879769999999998</v>
      </c>
      <c r="BX214">
        <v>18</v>
      </c>
      <c r="BY214">
        <v>40.678570000000001</v>
      </c>
      <c r="BZ214">
        <v>0.60786960000000001</v>
      </c>
      <c r="CA214">
        <v>14</v>
      </c>
      <c r="CB214" t="s">
        <v>113</v>
      </c>
      <c r="CC214" t="s">
        <v>365</v>
      </c>
    </row>
    <row r="215" spans="1:81" x14ac:dyDescent="0.25">
      <c r="A215" t="s">
        <v>81</v>
      </c>
      <c r="B215">
        <v>214</v>
      </c>
      <c r="C215">
        <v>39</v>
      </c>
      <c r="D215">
        <v>36</v>
      </c>
      <c r="E215">
        <v>32</v>
      </c>
      <c r="F215">
        <v>34</v>
      </c>
      <c r="G215">
        <v>93</v>
      </c>
      <c r="H215">
        <v>146</v>
      </c>
      <c r="J215" t="s">
        <v>83</v>
      </c>
      <c r="K215" s="3" t="s">
        <v>527</v>
      </c>
      <c r="M215" t="s">
        <v>85</v>
      </c>
      <c r="N215" t="s">
        <v>528</v>
      </c>
      <c r="O215" t="s">
        <v>14</v>
      </c>
      <c r="P215" t="s">
        <v>529</v>
      </c>
      <c r="Q215" t="s">
        <v>530</v>
      </c>
      <c r="R215">
        <v>2015</v>
      </c>
      <c r="S215" t="s">
        <v>531</v>
      </c>
      <c r="U215" t="s">
        <v>532</v>
      </c>
      <c r="V215" t="s">
        <v>533</v>
      </c>
      <c r="W215" t="s">
        <v>91</v>
      </c>
      <c r="X215" t="s">
        <v>126</v>
      </c>
      <c r="Y215" t="s">
        <v>255</v>
      </c>
      <c r="Z215" t="s">
        <v>534</v>
      </c>
      <c r="AA215" t="s">
        <v>535</v>
      </c>
      <c r="AB215" t="s">
        <v>536</v>
      </c>
      <c r="AC215" t="s">
        <v>537</v>
      </c>
      <c r="AD215" t="s">
        <v>132</v>
      </c>
      <c r="AE215" t="s">
        <v>133</v>
      </c>
      <c r="AF215" t="s">
        <v>100</v>
      </c>
      <c r="AG215" t="s">
        <v>102</v>
      </c>
      <c r="AH215" t="s">
        <v>262</v>
      </c>
      <c r="AI215" t="s">
        <v>103</v>
      </c>
      <c r="AJ215" t="s">
        <v>135</v>
      </c>
      <c r="AK215">
        <v>7</v>
      </c>
      <c r="AL215">
        <v>30</v>
      </c>
      <c r="AM215" t="s">
        <v>229</v>
      </c>
      <c r="AN215" t="s">
        <v>106</v>
      </c>
      <c r="AU215">
        <f>(0.06309375+0.05870909)/2</f>
        <v>6.0901419999999998E-2</v>
      </c>
      <c r="AW215" t="s">
        <v>538</v>
      </c>
      <c r="AY215" t="s">
        <v>134</v>
      </c>
      <c r="AZ215" t="s">
        <v>109</v>
      </c>
      <c r="BA215" t="s">
        <v>138</v>
      </c>
      <c r="BB215">
        <v>25</v>
      </c>
      <c r="BC215">
        <v>30</v>
      </c>
      <c r="BE215" t="s">
        <v>139</v>
      </c>
      <c r="BG215">
        <v>1</v>
      </c>
      <c r="BS215" t="s">
        <v>515</v>
      </c>
      <c r="BU215" t="s">
        <v>542</v>
      </c>
      <c r="BV215">
        <v>42</v>
      </c>
      <c r="BW215">
        <v>0.40824830000000001</v>
      </c>
      <c r="BX215">
        <v>16</v>
      </c>
      <c r="BY215">
        <v>41.681820000000002</v>
      </c>
      <c r="BZ215">
        <v>0.60302270000000002</v>
      </c>
      <c r="CA215">
        <v>11</v>
      </c>
      <c r="CB215" t="s">
        <v>113</v>
      </c>
      <c r="CC215" t="s">
        <v>365</v>
      </c>
    </row>
    <row r="216" spans="1:81" x14ac:dyDescent="0.25">
      <c r="A216" t="s">
        <v>81</v>
      </c>
      <c r="B216">
        <v>215</v>
      </c>
      <c r="C216">
        <v>40</v>
      </c>
      <c r="D216">
        <v>37</v>
      </c>
      <c r="E216">
        <v>33</v>
      </c>
      <c r="F216">
        <v>35</v>
      </c>
      <c r="G216">
        <v>94</v>
      </c>
      <c r="H216">
        <v>147</v>
      </c>
      <c r="J216" t="s">
        <v>285</v>
      </c>
      <c r="L216" t="s">
        <v>543</v>
      </c>
      <c r="M216" t="s">
        <v>85</v>
      </c>
      <c r="O216" t="s">
        <v>14</v>
      </c>
      <c r="P216" t="s">
        <v>544</v>
      </c>
      <c r="Q216" t="s">
        <v>545</v>
      </c>
      <c r="R216">
        <v>2020</v>
      </c>
      <c r="S216" t="s">
        <v>158</v>
      </c>
      <c r="U216" t="s">
        <v>546</v>
      </c>
      <c r="V216" t="s">
        <v>547</v>
      </c>
      <c r="W216" t="s">
        <v>91</v>
      </c>
      <c r="X216" t="s">
        <v>126</v>
      </c>
      <c r="Y216" t="s">
        <v>434</v>
      </c>
      <c r="Z216" t="s">
        <v>548</v>
      </c>
      <c r="AA216" t="s">
        <v>549</v>
      </c>
      <c r="AB216" t="s">
        <v>550</v>
      </c>
      <c r="AC216" t="s">
        <v>551</v>
      </c>
      <c r="AD216" t="s">
        <v>132</v>
      </c>
      <c r="AE216" t="s">
        <v>133</v>
      </c>
      <c r="AF216" t="s">
        <v>100</v>
      </c>
      <c r="AG216" t="s">
        <v>102</v>
      </c>
      <c r="AH216" t="s">
        <v>102</v>
      </c>
      <c r="AI216" t="s">
        <v>134</v>
      </c>
      <c r="AJ216" t="s">
        <v>135</v>
      </c>
      <c r="AM216" t="s">
        <v>136</v>
      </c>
      <c r="AN216" t="s">
        <v>242</v>
      </c>
      <c r="AU216">
        <f>(13.6+11.2)/2</f>
        <v>12.399999999999999</v>
      </c>
      <c r="AW216" t="s">
        <v>108</v>
      </c>
      <c r="AX216">
        <v>26</v>
      </c>
      <c r="AY216" t="s">
        <v>103</v>
      </c>
      <c r="AZ216" t="s">
        <v>109</v>
      </c>
      <c r="BA216" t="s">
        <v>138</v>
      </c>
      <c r="BB216">
        <v>28</v>
      </c>
      <c r="BC216">
        <v>32</v>
      </c>
      <c r="BD216">
        <f>(0.2+0.3)/2</f>
        <v>0.25</v>
      </c>
      <c r="BE216" t="s">
        <v>139</v>
      </c>
      <c r="BF216">
        <f>13.5*7</f>
        <v>94.5</v>
      </c>
      <c r="BG216">
        <v>0.2</v>
      </c>
      <c r="BP216">
        <v>12</v>
      </c>
      <c r="BR216" t="s">
        <v>69</v>
      </c>
      <c r="BU216" t="s">
        <v>552</v>
      </c>
      <c r="BV216">
        <v>38.296627000000001</v>
      </c>
      <c r="BW216">
        <v>0.34916996</v>
      </c>
      <c r="BX216">
        <v>12</v>
      </c>
      <c r="BY216">
        <v>39.236111100000002</v>
      </c>
      <c r="BZ216">
        <v>0.28978135999999999</v>
      </c>
      <c r="CA216">
        <v>12</v>
      </c>
      <c r="CB216" t="s">
        <v>113</v>
      </c>
      <c r="CC216" t="s">
        <v>553</v>
      </c>
    </row>
    <row r="217" spans="1:81" x14ac:dyDescent="0.25">
      <c r="A217" t="s">
        <v>81</v>
      </c>
      <c r="B217">
        <v>216</v>
      </c>
      <c r="C217">
        <v>41</v>
      </c>
      <c r="D217">
        <v>38</v>
      </c>
      <c r="E217">
        <v>34</v>
      </c>
      <c r="F217">
        <v>36</v>
      </c>
      <c r="G217">
        <v>95</v>
      </c>
      <c r="H217">
        <v>148</v>
      </c>
      <c r="I217" t="s">
        <v>118</v>
      </c>
      <c r="J217" t="s">
        <v>83</v>
      </c>
      <c r="K217" s="3" t="s">
        <v>554</v>
      </c>
      <c r="M217" t="s">
        <v>85</v>
      </c>
      <c r="N217" t="s">
        <v>555</v>
      </c>
      <c r="O217" t="s">
        <v>14</v>
      </c>
      <c r="P217" t="s">
        <v>556</v>
      </c>
      <c r="Q217" t="s">
        <v>557</v>
      </c>
      <c r="R217">
        <v>2020</v>
      </c>
      <c r="S217" t="s">
        <v>531</v>
      </c>
      <c r="U217" t="s">
        <v>558</v>
      </c>
      <c r="V217" t="s">
        <v>559</v>
      </c>
      <c r="W217" t="s">
        <v>91</v>
      </c>
      <c r="X217" t="s">
        <v>92</v>
      </c>
      <c r="Y217" t="s">
        <v>93</v>
      </c>
      <c r="Z217" t="s">
        <v>560</v>
      </c>
      <c r="AA217" t="s">
        <v>561</v>
      </c>
      <c r="AB217" t="s">
        <v>562</v>
      </c>
      <c r="AC217" t="s">
        <v>563</v>
      </c>
      <c r="AD217" t="s">
        <v>98</v>
      </c>
      <c r="AE217" t="s">
        <v>99</v>
      </c>
      <c r="AF217" t="s">
        <v>100</v>
      </c>
      <c r="AG217" t="s">
        <v>101</v>
      </c>
      <c r="AH217" t="s">
        <v>262</v>
      </c>
      <c r="AI217" t="s">
        <v>103</v>
      </c>
      <c r="AJ217" t="s">
        <v>104</v>
      </c>
      <c r="AL217">
        <v>26</v>
      </c>
      <c r="AM217" t="s">
        <v>105</v>
      </c>
      <c r="AN217" t="s">
        <v>106</v>
      </c>
      <c r="AO217">
        <v>30</v>
      </c>
      <c r="AP217">
        <v>-81.333333333300004</v>
      </c>
      <c r="AQ217">
        <v>2</v>
      </c>
      <c r="AR217" t="s">
        <v>317</v>
      </c>
      <c r="AS217">
        <v>2018</v>
      </c>
      <c r="AT217">
        <f>(42.5+41.6)/2</f>
        <v>42.05</v>
      </c>
      <c r="AU217">
        <f>(1.954+1.86)/2</f>
        <v>1.907</v>
      </c>
      <c r="AW217" t="s">
        <v>264</v>
      </c>
      <c r="AX217">
        <v>26</v>
      </c>
      <c r="AY217" t="s">
        <v>103</v>
      </c>
      <c r="AZ217" t="s">
        <v>109</v>
      </c>
      <c r="BA217" t="s">
        <v>110</v>
      </c>
      <c r="BB217">
        <v>26.2</v>
      </c>
      <c r="BC217">
        <v>28</v>
      </c>
      <c r="BD217">
        <f>(0.79+2.52)/2</f>
        <v>1.655</v>
      </c>
      <c r="BE217" t="s">
        <v>111</v>
      </c>
      <c r="BP217">
        <v>12</v>
      </c>
      <c r="BU217" t="s">
        <v>564</v>
      </c>
      <c r="BV217">
        <v>38.9</v>
      </c>
      <c r="BW217" t="s">
        <v>565</v>
      </c>
      <c r="BX217">
        <v>10</v>
      </c>
      <c r="BY217">
        <v>39.200000000000003</v>
      </c>
      <c r="BZ217">
        <v>1.2516655999999999</v>
      </c>
      <c r="CA217">
        <v>10</v>
      </c>
      <c r="CB217" t="s">
        <v>113</v>
      </c>
      <c r="CC217" t="s">
        <v>365</v>
      </c>
    </row>
    <row r="218" spans="1:81" x14ac:dyDescent="0.25">
      <c r="A218" t="s">
        <v>81</v>
      </c>
      <c r="B218">
        <v>217</v>
      </c>
      <c r="C218">
        <v>41</v>
      </c>
      <c r="D218">
        <v>38</v>
      </c>
      <c r="E218">
        <v>34</v>
      </c>
      <c r="F218">
        <v>36</v>
      </c>
      <c r="G218">
        <v>95</v>
      </c>
      <c r="H218">
        <v>149</v>
      </c>
      <c r="I218" t="s">
        <v>118</v>
      </c>
      <c r="J218" t="s">
        <v>83</v>
      </c>
      <c r="K218" s="5" t="s">
        <v>554</v>
      </c>
      <c r="M218" t="s">
        <v>85</v>
      </c>
      <c r="N218" t="s">
        <v>555</v>
      </c>
      <c r="O218" t="s">
        <v>14</v>
      </c>
      <c r="P218" t="s">
        <v>556</v>
      </c>
      <c r="Q218" t="s">
        <v>557</v>
      </c>
      <c r="R218">
        <v>2020</v>
      </c>
      <c r="S218" t="s">
        <v>531</v>
      </c>
      <c r="U218" t="s">
        <v>558</v>
      </c>
      <c r="V218" t="s">
        <v>559</v>
      </c>
      <c r="W218" t="s">
        <v>91</v>
      </c>
      <c r="X218" t="s">
        <v>92</v>
      </c>
      <c r="Y218" t="s">
        <v>93</v>
      </c>
      <c r="Z218" t="s">
        <v>560</v>
      </c>
      <c r="AA218" t="s">
        <v>561</v>
      </c>
      <c r="AB218" t="s">
        <v>562</v>
      </c>
      <c r="AC218" t="s">
        <v>563</v>
      </c>
      <c r="AD218" t="s">
        <v>98</v>
      </c>
      <c r="AE218" t="s">
        <v>99</v>
      </c>
      <c r="AF218" t="s">
        <v>100</v>
      </c>
      <c r="AG218" t="s">
        <v>101</v>
      </c>
      <c r="AH218" t="s">
        <v>262</v>
      </c>
      <c r="AI218" t="s">
        <v>103</v>
      </c>
      <c r="AJ218" t="s">
        <v>104</v>
      </c>
      <c r="AL218">
        <v>26</v>
      </c>
      <c r="AM218" t="s">
        <v>105</v>
      </c>
      <c r="AN218" t="s">
        <v>106</v>
      </c>
      <c r="AO218">
        <v>30</v>
      </c>
      <c r="AP218">
        <v>-81.333333333300004</v>
      </c>
      <c r="AQ218">
        <v>2</v>
      </c>
      <c r="AR218" t="s">
        <v>317</v>
      </c>
      <c r="AS218">
        <v>2018</v>
      </c>
      <c r="AT218">
        <f>(42.9+41.6)/2</f>
        <v>42.25</v>
      </c>
      <c r="AU218">
        <f>(1.86+1.996)/2</f>
        <v>1.9279999999999999</v>
      </c>
      <c r="AW218" t="s">
        <v>264</v>
      </c>
      <c r="AX218">
        <v>26</v>
      </c>
      <c r="AY218" t="s">
        <v>103</v>
      </c>
      <c r="AZ218" t="s">
        <v>109</v>
      </c>
      <c r="BA218" t="s">
        <v>110</v>
      </c>
      <c r="BB218">
        <v>28</v>
      </c>
      <c r="BC218">
        <v>29.4</v>
      </c>
      <c r="BD218">
        <f>(2.52+3.92)/2</f>
        <v>3.2199999999999998</v>
      </c>
      <c r="BE218" t="s">
        <v>111</v>
      </c>
      <c r="BP218">
        <v>12</v>
      </c>
      <c r="BU218" t="s">
        <v>564</v>
      </c>
      <c r="BV218">
        <v>39.200000000000003</v>
      </c>
      <c r="BW218">
        <v>1.2516655999999999</v>
      </c>
      <c r="BX218">
        <v>10</v>
      </c>
      <c r="BY218">
        <v>38.5</v>
      </c>
      <c r="BZ218">
        <v>0.66666669999999995</v>
      </c>
      <c r="CA218">
        <v>10</v>
      </c>
      <c r="CB218" t="s">
        <v>113</v>
      </c>
      <c r="CC218" t="s">
        <v>365</v>
      </c>
    </row>
    <row r="219" spans="1:81" x14ac:dyDescent="0.25">
      <c r="A219" t="s">
        <v>81</v>
      </c>
      <c r="B219">
        <v>218</v>
      </c>
      <c r="C219">
        <v>41</v>
      </c>
      <c r="D219">
        <v>38</v>
      </c>
      <c r="E219">
        <v>34</v>
      </c>
      <c r="F219">
        <v>36</v>
      </c>
      <c r="G219">
        <v>96</v>
      </c>
      <c r="H219">
        <v>150</v>
      </c>
      <c r="I219" t="s">
        <v>118</v>
      </c>
      <c r="J219" t="s">
        <v>83</v>
      </c>
      <c r="K219" s="3" t="s">
        <v>554</v>
      </c>
      <c r="M219" t="s">
        <v>85</v>
      </c>
      <c r="N219" t="s">
        <v>555</v>
      </c>
      <c r="O219" t="s">
        <v>14</v>
      </c>
      <c r="P219" t="s">
        <v>556</v>
      </c>
      <c r="Q219" t="s">
        <v>557</v>
      </c>
      <c r="R219">
        <v>2020</v>
      </c>
      <c r="S219" t="s">
        <v>531</v>
      </c>
      <c r="U219" t="s">
        <v>558</v>
      </c>
      <c r="V219" t="s">
        <v>559</v>
      </c>
      <c r="W219" t="s">
        <v>91</v>
      </c>
      <c r="X219" t="s">
        <v>92</v>
      </c>
      <c r="Y219" t="s">
        <v>93</v>
      </c>
      <c r="Z219" t="s">
        <v>560</v>
      </c>
      <c r="AA219" t="s">
        <v>561</v>
      </c>
      <c r="AB219" t="s">
        <v>562</v>
      </c>
      <c r="AC219" t="s">
        <v>563</v>
      </c>
      <c r="AD219" t="s">
        <v>98</v>
      </c>
      <c r="AE219" t="s">
        <v>99</v>
      </c>
      <c r="AF219" t="s">
        <v>100</v>
      </c>
      <c r="AG219" t="s">
        <v>101</v>
      </c>
      <c r="AH219" t="s">
        <v>262</v>
      </c>
      <c r="AI219" t="s">
        <v>103</v>
      </c>
      <c r="AJ219" t="s">
        <v>104</v>
      </c>
      <c r="AL219">
        <v>26</v>
      </c>
      <c r="AM219" t="s">
        <v>105</v>
      </c>
      <c r="AN219" t="s">
        <v>106</v>
      </c>
      <c r="AO219">
        <v>30</v>
      </c>
      <c r="AP219">
        <v>-81.333333333300004</v>
      </c>
      <c r="AQ219">
        <v>2</v>
      </c>
      <c r="AR219" t="s">
        <v>317</v>
      </c>
      <c r="AS219">
        <v>2018</v>
      </c>
      <c r="AT219">
        <f>(47.5+47.8)/2</f>
        <v>47.65</v>
      </c>
      <c r="AU219">
        <f>(2.525+2.674)/2</f>
        <v>2.5994999999999999</v>
      </c>
      <c r="AW219" t="s">
        <v>269</v>
      </c>
      <c r="AX219">
        <v>26</v>
      </c>
      <c r="AY219" t="s">
        <v>103</v>
      </c>
      <c r="AZ219" t="s">
        <v>109</v>
      </c>
      <c r="BA219" t="s">
        <v>110</v>
      </c>
      <c r="BB219">
        <v>26.2</v>
      </c>
      <c r="BC219">
        <v>28</v>
      </c>
      <c r="BD219">
        <f>(0.79+2.52)/2</f>
        <v>1.655</v>
      </c>
      <c r="BE219" t="s">
        <v>111</v>
      </c>
      <c r="BP219">
        <v>12</v>
      </c>
      <c r="BU219" t="s">
        <v>564</v>
      </c>
      <c r="BV219">
        <v>38.9</v>
      </c>
      <c r="BW219">
        <v>1.0749677</v>
      </c>
      <c r="BX219">
        <v>10</v>
      </c>
      <c r="BY219">
        <v>38.6</v>
      </c>
      <c r="BZ219">
        <v>0.56764619999999999</v>
      </c>
      <c r="CA219">
        <v>10</v>
      </c>
      <c r="CB219" t="s">
        <v>113</v>
      </c>
      <c r="CC219" t="s">
        <v>365</v>
      </c>
    </row>
    <row r="220" spans="1:81" x14ac:dyDescent="0.25">
      <c r="A220" t="s">
        <v>81</v>
      </c>
      <c r="B220">
        <v>219</v>
      </c>
      <c r="C220">
        <v>41</v>
      </c>
      <c r="D220">
        <v>38</v>
      </c>
      <c r="E220">
        <v>34</v>
      </c>
      <c r="F220">
        <v>36</v>
      </c>
      <c r="G220">
        <v>96</v>
      </c>
      <c r="H220">
        <v>151</v>
      </c>
      <c r="I220" t="s">
        <v>118</v>
      </c>
      <c r="J220" t="s">
        <v>83</v>
      </c>
      <c r="K220" s="5" t="s">
        <v>554</v>
      </c>
      <c r="M220" t="s">
        <v>85</v>
      </c>
      <c r="N220" t="s">
        <v>555</v>
      </c>
      <c r="O220" t="s">
        <v>14</v>
      </c>
      <c r="P220" t="s">
        <v>556</v>
      </c>
      <c r="Q220" t="s">
        <v>557</v>
      </c>
      <c r="R220">
        <v>2020</v>
      </c>
      <c r="S220" t="s">
        <v>531</v>
      </c>
      <c r="U220" t="s">
        <v>558</v>
      </c>
      <c r="V220" t="s">
        <v>559</v>
      </c>
      <c r="W220" t="s">
        <v>91</v>
      </c>
      <c r="X220" t="s">
        <v>92</v>
      </c>
      <c r="Y220" t="s">
        <v>93</v>
      </c>
      <c r="Z220" t="s">
        <v>560</v>
      </c>
      <c r="AA220" t="s">
        <v>561</v>
      </c>
      <c r="AB220" t="s">
        <v>562</v>
      </c>
      <c r="AC220" t="s">
        <v>563</v>
      </c>
      <c r="AD220" t="s">
        <v>98</v>
      </c>
      <c r="AE220" t="s">
        <v>99</v>
      </c>
      <c r="AF220" t="s">
        <v>100</v>
      </c>
      <c r="AG220" t="s">
        <v>101</v>
      </c>
      <c r="AH220" t="s">
        <v>262</v>
      </c>
      <c r="AI220" t="s">
        <v>103</v>
      </c>
      <c r="AJ220" t="s">
        <v>104</v>
      </c>
      <c r="AL220">
        <v>26</v>
      </c>
      <c r="AM220" t="s">
        <v>105</v>
      </c>
      <c r="AN220" t="s">
        <v>106</v>
      </c>
      <c r="AO220">
        <v>30</v>
      </c>
      <c r="AP220">
        <v>-81.333333333300004</v>
      </c>
      <c r="AQ220">
        <v>2</v>
      </c>
      <c r="AR220" t="s">
        <v>317</v>
      </c>
      <c r="AS220">
        <v>2018</v>
      </c>
      <c r="AT220">
        <f>(47.8+48)/2</f>
        <v>47.9</v>
      </c>
      <c r="AU220">
        <f>(2.674+2.761667)/2</f>
        <v>2.7178335000000002</v>
      </c>
      <c r="AW220" t="s">
        <v>269</v>
      </c>
      <c r="AX220">
        <v>26</v>
      </c>
      <c r="AY220" t="s">
        <v>103</v>
      </c>
      <c r="AZ220" t="s">
        <v>109</v>
      </c>
      <c r="BA220" t="s">
        <v>110</v>
      </c>
      <c r="BB220">
        <v>28</v>
      </c>
      <c r="BC220">
        <v>29.4</v>
      </c>
      <c r="BD220">
        <f>(2.52+3.92)/2</f>
        <v>3.2199999999999998</v>
      </c>
      <c r="BE220" t="s">
        <v>111</v>
      </c>
      <c r="BP220">
        <v>12</v>
      </c>
      <c r="BU220" t="s">
        <v>564</v>
      </c>
      <c r="BV220">
        <v>38.6</v>
      </c>
      <c r="BW220">
        <v>0.56764619999999999</v>
      </c>
      <c r="BX220">
        <v>10</v>
      </c>
      <c r="BY220">
        <v>39.5</v>
      </c>
      <c r="BZ220">
        <v>1.0954451000000001</v>
      </c>
      <c r="CA220">
        <v>6</v>
      </c>
      <c r="CB220" t="s">
        <v>113</v>
      </c>
      <c r="CC220" t="s">
        <v>365</v>
      </c>
    </row>
    <row r="221" spans="1:81" x14ac:dyDescent="0.25">
      <c r="A221" t="s">
        <v>81</v>
      </c>
      <c r="B221">
        <v>220</v>
      </c>
      <c r="C221">
        <v>43</v>
      </c>
      <c r="D221">
        <v>40</v>
      </c>
      <c r="E221">
        <v>35</v>
      </c>
      <c r="F221">
        <v>37</v>
      </c>
      <c r="G221">
        <v>97</v>
      </c>
      <c r="H221">
        <v>152</v>
      </c>
      <c r="I221" t="s">
        <v>566</v>
      </c>
      <c r="J221" t="s">
        <v>83</v>
      </c>
      <c r="K221" s="3" t="s">
        <v>567</v>
      </c>
      <c r="M221" t="s">
        <v>85</v>
      </c>
      <c r="O221" t="s">
        <v>14</v>
      </c>
      <c r="P221" t="s">
        <v>568</v>
      </c>
      <c r="Q221" t="s">
        <v>569</v>
      </c>
      <c r="R221">
        <v>2019</v>
      </c>
      <c r="S221" t="s">
        <v>158</v>
      </c>
      <c r="U221" t="s">
        <v>570</v>
      </c>
      <c r="V221" t="s">
        <v>571</v>
      </c>
      <c r="W221" t="s">
        <v>170</v>
      </c>
      <c r="X221" t="s">
        <v>572</v>
      </c>
      <c r="Y221" t="s">
        <v>573</v>
      </c>
      <c r="Z221" t="s">
        <v>574</v>
      </c>
      <c r="AA221" t="s">
        <v>575</v>
      </c>
      <c r="AB221" t="s">
        <v>576</v>
      </c>
      <c r="AC221" t="s">
        <v>577</v>
      </c>
      <c r="AD221" t="s">
        <v>132</v>
      </c>
      <c r="AE221" t="s">
        <v>316</v>
      </c>
      <c r="AF221" t="s">
        <v>260</v>
      </c>
      <c r="AG221" t="s">
        <v>102</v>
      </c>
      <c r="AH221" t="s">
        <v>262</v>
      </c>
      <c r="AI221" t="s">
        <v>103</v>
      </c>
      <c r="AJ221" t="s">
        <v>135</v>
      </c>
      <c r="AK221">
        <v>14</v>
      </c>
      <c r="AL221">
        <v>20</v>
      </c>
      <c r="AM221" t="s">
        <v>229</v>
      </c>
      <c r="AN221" t="s">
        <v>106</v>
      </c>
      <c r="AO221">
        <v>32.814202000000002</v>
      </c>
      <c r="AP221">
        <v>-117.27337900000001</v>
      </c>
      <c r="AQ221">
        <v>0</v>
      </c>
      <c r="AW221" t="s">
        <v>578</v>
      </c>
      <c r="AX221">
        <v>20</v>
      </c>
      <c r="AY221" t="s">
        <v>134</v>
      </c>
      <c r="AZ221" t="s">
        <v>109</v>
      </c>
      <c r="BA221" t="s">
        <v>180</v>
      </c>
      <c r="BB221">
        <v>20</v>
      </c>
      <c r="BC221">
        <v>25</v>
      </c>
      <c r="BE221" t="s">
        <v>139</v>
      </c>
      <c r="BN221">
        <v>36</v>
      </c>
      <c r="BP221">
        <v>12</v>
      </c>
      <c r="BR221" t="s">
        <v>69</v>
      </c>
      <c r="BS221" t="s">
        <v>515</v>
      </c>
      <c r="BU221" t="s">
        <v>579</v>
      </c>
      <c r="BV221">
        <v>37.9375</v>
      </c>
      <c r="BW221">
        <v>0.31384709999999999</v>
      </c>
      <c r="BX221">
        <v>16</v>
      </c>
      <c r="BY221">
        <v>37.725000000000001</v>
      </c>
      <c r="BZ221">
        <v>0.3530817</v>
      </c>
      <c r="CA221">
        <v>16</v>
      </c>
      <c r="CB221" t="s">
        <v>113</v>
      </c>
      <c r="CC221" t="s">
        <v>365</v>
      </c>
    </row>
    <row r="222" spans="1:81" x14ac:dyDescent="0.25">
      <c r="A222" t="s">
        <v>81</v>
      </c>
      <c r="B222">
        <v>221</v>
      </c>
      <c r="C222">
        <v>43</v>
      </c>
      <c r="D222">
        <v>40</v>
      </c>
      <c r="E222">
        <v>35</v>
      </c>
      <c r="F222">
        <v>37</v>
      </c>
      <c r="G222">
        <v>98</v>
      </c>
      <c r="H222">
        <v>153</v>
      </c>
      <c r="I222" t="s">
        <v>566</v>
      </c>
      <c r="J222" t="s">
        <v>83</v>
      </c>
      <c r="K222" s="3" t="s">
        <v>567</v>
      </c>
      <c r="M222" t="s">
        <v>85</v>
      </c>
      <c r="O222" t="s">
        <v>14</v>
      </c>
      <c r="P222" t="s">
        <v>568</v>
      </c>
      <c r="Q222" t="s">
        <v>569</v>
      </c>
      <c r="R222">
        <v>2019</v>
      </c>
      <c r="S222" t="s">
        <v>158</v>
      </c>
      <c r="U222" t="s">
        <v>570</v>
      </c>
      <c r="V222" t="s">
        <v>571</v>
      </c>
      <c r="W222" t="s">
        <v>170</v>
      </c>
      <c r="X222" t="s">
        <v>572</v>
      </c>
      <c r="Y222" t="s">
        <v>573</v>
      </c>
      <c r="Z222" t="s">
        <v>574</v>
      </c>
      <c r="AA222" t="s">
        <v>575</v>
      </c>
      <c r="AB222" t="s">
        <v>576</v>
      </c>
      <c r="AC222" t="s">
        <v>577</v>
      </c>
      <c r="AD222" t="s">
        <v>132</v>
      </c>
      <c r="AE222" t="s">
        <v>316</v>
      </c>
      <c r="AF222" t="s">
        <v>260</v>
      </c>
      <c r="AG222" t="s">
        <v>102</v>
      </c>
      <c r="AH222" t="s">
        <v>262</v>
      </c>
      <c r="AI222" t="s">
        <v>103</v>
      </c>
      <c r="AJ222" t="s">
        <v>135</v>
      </c>
      <c r="AK222">
        <v>10</v>
      </c>
      <c r="AL222">
        <v>25</v>
      </c>
      <c r="AM222" t="s">
        <v>229</v>
      </c>
      <c r="AN222" t="s">
        <v>106</v>
      </c>
      <c r="AO222">
        <v>32.814202000000002</v>
      </c>
      <c r="AP222">
        <v>-117.27337900000001</v>
      </c>
      <c r="AQ222">
        <v>0</v>
      </c>
      <c r="AW222" t="s">
        <v>578</v>
      </c>
      <c r="AX222">
        <v>20</v>
      </c>
      <c r="AY222" t="s">
        <v>134</v>
      </c>
      <c r="AZ222" t="s">
        <v>109</v>
      </c>
      <c r="BA222" t="s">
        <v>180</v>
      </c>
      <c r="BB222">
        <v>20</v>
      </c>
      <c r="BC222">
        <v>25</v>
      </c>
      <c r="BE222" t="s">
        <v>139</v>
      </c>
      <c r="BN222">
        <v>36</v>
      </c>
      <c r="BP222">
        <v>12</v>
      </c>
      <c r="BR222" t="s">
        <v>69</v>
      </c>
      <c r="BS222" t="s">
        <v>515</v>
      </c>
      <c r="BU222" t="s">
        <v>580</v>
      </c>
      <c r="BV222">
        <v>38.056249999999999</v>
      </c>
      <c r="BW222">
        <v>0.32242569999999998</v>
      </c>
      <c r="BX222">
        <v>16</v>
      </c>
      <c r="BY222">
        <v>38.875</v>
      </c>
      <c r="BZ222">
        <v>0.48648400000000003</v>
      </c>
      <c r="CA222">
        <v>16</v>
      </c>
      <c r="CB222" t="s">
        <v>113</v>
      </c>
      <c r="CC222" t="s">
        <v>365</v>
      </c>
    </row>
    <row r="223" spans="1:81" x14ac:dyDescent="0.25">
      <c r="A223" t="s">
        <v>81</v>
      </c>
      <c r="B223">
        <v>222</v>
      </c>
      <c r="C223">
        <v>43</v>
      </c>
      <c r="D223">
        <v>40</v>
      </c>
      <c r="E223">
        <v>35</v>
      </c>
      <c r="F223">
        <v>37</v>
      </c>
      <c r="G223">
        <v>99</v>
      </c>
      <c r="H223">
        <v>154</v>
      </c>
      <c r="I223" t="s">
        <v>566</v>
      </c>
      <c r="J223" t="s">
        <v>83</v>
      </c>
      <c r="K223" s="3" t="s">
        <v>567</v>
      </c>
      <c r="M223" t="s">
        <v>85</v>
      </c>
      <c r="O223" t="s">
        <v>14</v>
      </c>
      <c r="P223" t="s">
        <v>568</v>
      </c>
      <c r="Q223" t="s">
        <v>569</v>
      </c>
      <c r="R223">
        <v>2019</v>
      </c>
      <c r="S223" t="s">
        <v>158</v>
      </c>
      <c r="U223" t="s">
        <v>570</v>
      </c>
      <c r="V223" t="s">
        <v>571</v>
      </c>
      <c r="W223" t="s">
        <v>170</v>
      </c>
      <c r="X223" t="s">
        <v>572</v>
      </c>
      <c r="Y223" t="s">
        <v>573</v>
      </c>
      <c r="Z223" t="s">
        <v>574</v>
      </c>
      <c r="AA223" t="s">
        <v>575</v>
      </c>
      <c r="AB223" t="s">
        <v>576</v>
      </c>
      <c r="AC223" t="s">
        <v>577</v>
      </c>
      <c r="AD223" t="s">
        <v>132</v>
      </c>
      <c r="AE223" t="s">
        <v>316</v>
      </c>
      <c r="AF223" t="s">
        <v>260</v>
      </c>
      <c r="AG223" t="s">
        <v>102</v>
      </c>
      <c r="AH223" t="s">
        <v>262</v>
      </c>
      <c r="AI223" t="s">
        <v>103</v>
      </c>
      <c r="AJ223" t="s">
        <v>135</v>
      </c>
      <c r="AK223">
        <v>14</v>
      </c>
      <c r="AL223">
        <v>25</v>
      </c>
      <c r="AM223" t="s">
        <v>229</v>
      </c>
      <c r="AN223" t="s">
        <v>106</v>
      </c>
      <c r="AO223">
        <v>32.814202000000002</v>
      </c>
      <c r="AP223">
        <v>-117.27337900000001</v>
      </c>
      <c r="AQ223">
        <v>0</v>
      </c>
      <c r="AW223" t="s">
        <v>578</v>
      </c>
      <c r="AX223">
        <v>20</v>
      </c>
      <c r="AY223" t="s">
        <v>134</v>
      </c>
      <c r="AZ223" t="s">
        <v>109</v>
      </c>
      <c r="BA223" t="s">
        <v>180</v>
      </c>
      <c r="BB223">
        <v>20</v>
      </c>
      <c r="BC223">
        <v>25</v>
      </c>
      <c r="BE223" t="s">
        <v>139</v>
      </c>
      <c r="BN223">
        <v>36</v>
      </c>
      <c r="BP223">
        <v>12</v>
      </c>
      <c r="BR223" t="s">
        <v>69</v>
      </c>
      <c r="BS223" t="s">
        <v>515</v>
      </c>
      <c r="BU223" t="s">
        <v>581</v>
      </c>
      <c r="BV223">
        <v>38.037500000000001</v>
      </c>
      <c r="BW223">
        <v>0.32223180000000001</v>
      </c>
      <c r="BX223">
        <v>16</v>
      </c>
      <c r="BY223">
        <v>38.493749999999999</v>
      </c>
      <c r="BZ223">
        <v>0.43889060000000002</v>
      </c>
      <c r="CA223">
        <v>16</v>
      </c>
      <c r="CB223" t="s">
        <v>113</v>
      </c>
      <c r="CC223" t="s">
        <v>365</v>
      </c>
    </row>
    <row r="224" spans="1:81" x14ac:dyDescent="0.25">
      <c r="A224" t="s">
        <v>81</v>
      </c>
      <c r="B224">
        <v>223</v>
      </c>
      <c r="C224">
        <v>43</v>
      </c>
      <c r="D224">
        <v>40</v>
      </c>
      <c r="E224">
        <v>36</v>
      </c>
      <c r="F224">
        <v>38</v>
      </c>
      <c r="G224">
        <v>100</v>
      </c>
      <c r="H224">
        <v>155</v>
      </c>
      <c r="I224" t="s">
        <v>566</v>
      </c>
      <c r="J224" t="s">
        <v>83</v>
      </c>
      <c r="K224" s="3" t="s">
        <v>567</v>
      </c>
      <c r="M224" t="s">
        <v>85</v>
      </c>
      <c r="O224" t="s">
        <v>14</v>
      </c>
      <c r="P224" t="s">
        <v>568</v>
      </c>
      <c r="Q224" t="s">
        <v>569</v>
      </c>
      <c r="R224">
        <v>2019</v>
      </c>
      <c r="S224" t="s">
        <v>158</v>
      </c>
      <c r="U224" t="s">
        <v>570</v>
      </c>
      <c r="V224" t="s">
        <v>571</v>
      </c>
      <c r="W224" t="s">
        <v>170</v>
      </c>
      <c r="X224" t="s">
        <v>572</v>
      </c>
      <c r="Y224" t="s">
        <v>573</v>
      </c>
      <c r="Z224" t="s">
        <v>574</v>
      </c>
      <c r="AA224" t="s">
        <v>575</v>
      </c>
      <c r="AB224" t="s">
        <v>576</v>
      </c>
      <c r="AC224" t="s">
        <v>577</v>
      </c>
      <c r="AD224" t="s">
        <v>132</v>
      </c>
      <c r="AE224" t="s">
        <v>316</v>
      </c>
      <c r="AF224" t="s">
        <v>260</v>
      </c>
      <c r="AG224" t="s">
        <v>102</v>
      </c>
      <c r="AH224" t="s">
        <v>262</v>
      </c>
      <c r="AI224" t="s">
        <v>103</v>
      </c>
      <c r="AJ224" t="s">
        <v>135</v>
      </c>
      <c r="AK224">
        <v>14</v>
      </c>
      <c r="AL224">
        <v>20</v>
      </c>
      <c r="AM224" t="s">
        <v>229</v>
      </c>
      <c r="AN224" t="s">
        <v>106</v>
      </c>
      <c r="AO224">
        <v>37.259630999999999</v>
      </c>
      <c r="AP224">
        <v>-122.41411600000001</v>
      </c>
      <c r="AQ224">
        <v>0</v>
      </c>
      <c r="AW224" t="s">
        <v>578</v>
      </c>
      <c r="AX224">
        <v>20</v>
      </c>
      <c r="AY224" t="s">
        <v>134</v>
      </c>
      <c r="AZ224" t="s">
        <v>109</v>
      </c>
      <c r="BA224" t="s">
        <v>180</v>
      </c>
      <c r="BB224">
        <v>20</v>
      </c>
      <c r="BC224">
        <v>25</v>
      </c>
      <c r="BE224" t="s">
        <v>139</v>
      </c>
      <c r="BN224">
        <v>36</v>
      </c>
      <c r="BP224">
        <v>12</v>
      </c>
      <c r="BR224" t="s">
        <v>69</v>
      </c>
      <c r="BS224" t="s">
        <v>515</v>
      </c>
      <c r="BU224" t="s">
        <v>582</v>
      </c>
      <c r="BV224">
        <v>36.774999999999999</v>
      </c>
      <c r="BW224">
        <v>0.50793699999999997</v>
      </c>
      <c r="BX224">
        <v>16</v>
      </c>
      <c r="BY224">
        <v>36.712499999999999</v>
      </c>
      <c r="BZ224">
        <v>0.4440345</v>
      </c>
      <c r="CA224">
        <v>16</v>
      </c>
      <c r="CB224" t="s">
        <v>113</v>
      </c>
      <c r="CC224" t="s">
        <v>365</v>
      </c>
    </row>
    <row r="225" spans="1:81" x14ac:dyDescent="0.25">
      <c r="A225" t="s">
        <v>81</v>
      </c>
      <c r="B225">
        <v>224</v>
      </c>
      <c r="C225">
        <v>43</v>
      </c>
      <c r="D225">
        <v>40</v>
      </c>
      <c r="E225">
        <v>36</v>
      </c>
      <c r="F225">
        <v>38</v>
      </c>
      <c r="G225">
        <v>101</v>
      </c>
      <c r="H225">
        <v>156</v>
      </c>
      <c r="I225" t="s">
        <v>566</v>
      </c>
      <c r="J225" t="s">
        <v>83</v>
      </c>
      <c r="K225" s="3" t="s">
        <v>567</v>
      </c>
      <c r="M225" t="s">
        <v>85</v>
      </c>
      <c r="O225" t="s">
        <v>14</v>
      </c>
      <c r="P225" t="s">
        <v>568</v>
      </c>
      <c r="Q225" t="s">
        <v>569</v>
      </c>
      <c r="R225">
        <v>2019</v>
      </c>
      <c r="S225" t="s">
        <v>158</v>
      </c>
      <c r="U225" t="s">
        <v>570</v>
      </c>
      <c r="V225" t="s">
        <v>571</v>
      </c>
      <c r="W225" t="s">
        <v>170</v>
      </c>
      <c r="X225" t="s">
        <v>572</v>
      </c>
      <c r="Y225" t="s">
        <v>573</v>
      </c>
      <c r="Z225" t="s">
        <v>574</v>
      </c>
      <c r="AA225" t="s">
        <v>575</v>
      </c>
      <c r="AB225" t="s">
        <v>576</v>
      </c>
      <c r="AC225" t="s">
        <v>577</v>
      </c>
      <c r="AD225" t="s">
        <v>132</v>
      </c>
      <c r="AE225" t="s">
        <v>316</v>
      </c>
      <c r="AF225" t="s">
        <v>260</v>
      </c>
      <c r="AG225" t="s">
        <v>102</v>
      </c>
      <c r="AH225" t="s">
        <v>262</v>
      </c>
      <c r="AI225" t="s">
        <v>103</v>
      </c>
      <c r="AJ225" t="s">
        <v>135</v>
      </c>
      <c r="AK225">
        <v>14</v>
      </c>
      <c r="AL225">
        <v>25</v>
      </c>
      <c r="AM225" t="s">
        <v>229</v>
      </c>
      <c r="AN225" t="s">
        <v>106</v>
      </c>
      <c r="AO225">
        <v>37.259630999999999</v>
      </c>
      <c r="AP225">
        <v>-122.41411600000001</v>
      </c>
      <c r="AQ225">
        <v>0</v>
      </c>
      <c r="AW225" t="s">
        <v>578</v>
      </c>
      <c r="AX225">
        <v>20</v>
      </c>
      <c r="AY225" t="s">
        <v>134</v>
      </c>
      <c r="AZ225" t="s">
        <v>109</v>
      </c>
      <c r="BA225" t="s">
        <v>180</v>
      </c>
      <c r="BB225">
        <v>20</v>
      </c>
      <c r="BC225">
        <v>25</v>
      </c>
      <c r="BE225" t="s">
        <v>139</v>
      </c>
      <c r="BN225">
        <v>36</v>
      </c>
      <c r="BP225">
        <v>12</v>
      </c>
      <c r="BR225" t="s">
        <v>69</v>
      </c>
      <c r="BS225" t="s">
        <v>515</v>
      </c>
      <c r="BU225" t="s">
        <v>583</v>
      </c>
      <c r="BV225">
        <v>37.049999999999997</v>
      </c>
      <c r="BW225">
        <v>0.4926121</v>
      </c>
      <c r="BX225">
        <v>16</v>
      </c>
      <c r="BY225">
        <v>37.64</v>
      </c>
      <c r="BZ225">
        <v>0.27979579999999998</v>
      </c>
      <c r="CA225">
        <v>15</v>
      </c>
      <c r="CB225" t="s">
        <v>113</v>
      </c>
      <c r="CC225" t="s">
        <v>365</v>
      </c>
    </row>
    <row r="226" spans="1:81" x14ac:dyDescent="0.25">
      <c r="A226" t="s">
        <v>81</v>
      </c>
      <c r="B226">
        <v>225</v>
      </c>
      <c r="C226">
        <v>43</v>
      </c>
      <c r="D226">
        <v>40</v>
      </c>
      <c r="E226">
        <v>37</v>
      </c>
      <c r="F226">
        <v>39</v>
      </c>
      <c r="G226">
        <v>102</v>
      </c>
      <c r="H226">
        <v>157</v>
      </c>
      <c r="I226" t="s">
        <v>566</v>
      </c>
      <c r="J226" t="s">
        <v>83</v>
      </c>
      <c r="K226" s="3" t="s">
        <v>567</v>
      </c>
      <c r="M226" t="s">
        <v>85</v>
      </c>
      <c r="O226" t="s">
        <v>14</v>
      </c>
      <c r="P226" t="s">
        <v>568</v>
      </c>
      <c r="Q226" t="s">
        <v>569</v>
      </c>
      <c r="R226">
        <v>2019</v>
      </c>
      <c r="S226" t="s">
        <v>158</v>
      </c>
      <c r="U226" t="s">
        <v>570</v>
      </c>
      <c r="V226" t="s">
        <v>571</v>
      </c>
      <c r="W226" t="s">
        <v>170</v>
      </c>
      <c r="X226" t="s">
        <v>572</v>
      </c>
      <c r="Y226" t="s">
        <v>573</v>
      </c>
      <c r="Z226" t="s">
        <v>574</v>
      </c>
      <c r="AA226" t="s">
        <v>575</v>
      </c>
      <c r="AB226" t="s">
        <v>576</v>
      </c>
      <c r="AC226" t="s">
        <v>577</v>
      </c>
      <c r="AD226" t="s">
        <v>132</v>
      </c>
      <c r="AE226" t="s">
        <v>316</v>
      </c>
      <c r="AF226" t="s">
        <v>260</v>
      </c>
      <c r="AG226" t="s">
        <v>102</v>
      </c>
      <c r="AH226" t="s">
        <v>262</v>
      </c>
      <c r="AI226" t="s">
        <v>103</v>
      </c>
      <c r="AJ226" t="s">
        <v>135</v>
      </c>
      <c r="AK226">
        <v>14</v>
      </c>
      <c r="AL226">
        <v>20</v>
      </c>
      <c r="AM226" t="s">
        <v>229</v>
      </c>
      <c r="AN226" t="s">
        <v>106</v>
      </c>
      <c r="AO226">
        <v>36.949432999999999</v>
      </c>
      <c r="AP226">
        <v>-122.046358</v>
      </c>
      <c r="AQ226">
        <v>0</v>
      </c>
      <c r="AW226" t="s">
        <v>578</v>
      </c>
      <c r="AX226">
        <v>20</v>
      </c>
      <c r="AY226" t="s">
        <v>134</v>
      </c>
      <c r="AZ226" t="s">
        <v>109</v>
      </c>
      <c r="BA226" t="s">
        <v>180</v>
      </c>
      <c r="BB226">
        <v>20</v>
      </c>
      <c r="BC226">
        <v>25</v>
      </c>
      <c r="BE226" t="s">
        <v>139</v>
      </c>
      <c r="BN226">
        <v>36</v>
      </c>
      <c r="BP226">
        <v>12</v>
      </c>
      <c r="BR226" t="s">
        <v>69</v>
      </c>
      <c r="BS226" t="s">
        <v>515</v>
      </c>
      <c r="BU226" t="s">
        <v>584</v>
      </c>
      <c r="BV226">
        <v>36.381250000000001</v>
      </c>
      <c r="BW226">
        <v>0.50756769999999996</v>
      </c>
      <c r="BX226">
        <v>16</v>
      </c>
      <c r="BY226">
        <v>36.737499999999997</v>
      </c>
      <c r="BZ226">
        <v>0.61196410000000001</v>
      </c>
      <c r="CA226">
        <v>16</v>
      </c>
      <c r="CB226" t="s">
        <v>113</v>
      </c>
      <c r="CC226" t="s">
        <v>365</v>
      </c>
    </row>
    <row r="227" spans="1:81" x14ac:dyDescent="0.25">
      <c r="A227" t="s">
        <v>81</v>
      </c>
      <c r="B227">
        <v>226</v>
      </c>
      <c r="C227">
        <v>43</v>
      </c>
      <c r="D227">
        <v>40</v>
      </c>
      <c r="E227">
        <v>37</v>
      </c>
      <c r="F227">
        <v>39</v>
      </c>
      <c r="G227">
        <v>103</v>
      </c>
      <c r="H227">
        <v>158</v>
      </c>
      <c r="I227" t="s">
        <v>566</v>
      </c>
      <c r="J227" t="s">
        <v>83</v>
      </c>
      <c r="K227" s="3" t="s">
        <v>567</v>
      </c>
      <c r="M227" t="s">
        <v>85</v>
      </c>
      <c r="O227" t="s">
        <v>14</v>
      </c>
      <c r="P227" t="s">
        <v>568</v>
      </c>
      <c r="Q227" t="s">
        <v>569</v>
      </c>
      <c r="R227">
        <v>2019</v>
      </c>
      <c r="S227" t="s">
        <v>158</v>
      </c>
      <c r="U227" t="s">
        <v>570</v>
      </c>
      <c r="V227" t="s">
        <v>571</v>
      </c>
      <c r="W227" t="s">
        <v>170</v>
      </c>
      <c r="X227" t="s">
        <v>572</v>
      </c>
      <c r="Y227" t="s">
        <v>573</v>
      </c>
      <c r="Z227" t="s">
        <v>574</v>
      </c>
      <c r="AA227" t="s">
        <v>575</v>
      </c>
      <c r="AB227" t="s">
        <v>576</v>
      </c>
      <c r="AC227" t="s">
        <v>577</v>
      </c>
      <c r="AD227" t="s">
        <v>132</v>
      </c>
      <c r="AE227" t="s">
        <v>316</v>
      </c>
      <c r="AF227" t="s">
        <v>260</v>
      </c>
      <c r="AG227" t="s">
        <v>102</v>
      </c>
      <c r="AH227" t="s">
        <v>262</v>
      </c>
      <c r="AI227" t="s">
        <v>103</v>
      </c>
      <c r="AJ227" t="s">
        <v>135</v>
      </c>
      <c r="AK227">
        <v>14</v>
      </c>
      <c r="AL227">
        <v>25</v>
      </c>
      <c r="AM227" t="s">
        <v>229</v>
      </c>
      <c r="AN227" t="s">
        <v>106</v>
      </c>
      <c r="AO227">
        <v>36.949432999999999</v>
      </c>
      <c r="AP227">
        <v>-122.046358</v>
      </c>
      <c r="AQ227">
        <v>0</v>
      </c>
      <c r="AW227" t="s">
        <v>578</v>
      </c>
      <c r="AX227">
        <v>20</v>
      </c>
      <c r="AY227" t="s">
        <v>134</v>
      </c>
      <c r="AZ227" t="s">
        <v>109</v>
      </c>
      <c r="BA227" t="s">
        <v>180</v>
      </c>
      <c r="BB227">
        <v>20</v>
      </c>
      <c r="BC227">
        <v>25</v>
      </c>
      <c r="BE227" t="s">
        <v>139</v>
      </c>
      <c r="BN227">
        <v>36</v>
      </c>
      <c r="BP227">
        <v>12</v>
      </c>
      <c r="BR227" t="s">
        <v>69</v>
      </c>
      <c r="BS227" t="s">
        <v>515</v>
      </c>
      <c r="BU227" t="s">
        <v>585</v>
      </c>
      <c r="BV227">
        <v>36.78125</v>
      </c>
      <c r="BW227">
        <v>0.54187180000000001</v>
      </c>
      <c r="BX227">
        <v>16</v>
      </c>
      <c r="BY227">
        <v>37.987499999999997</v>
      </c>
      <c r="BZ227">
        <v>0.70035709999999995</v>
      </c>
      <c r="CA227">
        <v>16</v>
      </c>
      <c r="CB227" t="s">
        <v>113</v>
      </c>
      <c r="CC227" t="s">
        <v>365</v>
      </c>
    </row>
    <row r="228" spans="1:81" x14ac:dyDescent="0.25">
      <c r="A228" t="s">
        <v>81</v>
      </c>
      <c r="B228">
        <v>227</v>
      </c>
      <c r="C228">
        <v>43</v>
      </c>
      <c r="D228">
        <v>40</v>
      </c>
      <c r="E228">
        <v>38</v>
      </c>
      <c r="F228">
        <v>40</v>
      </c>
      <c r="G228">
        <v>104</v>
      </c>
      <c r="H228">
        <v>159</v>
      </c>
      <c r="I228" t="s">
        <v>566</v>
      </c>
      <c r="J228" t="s">
        <v>83</v>
      </c>
      <c r="K228" s="3" t="s">
        <v>567</v>
      </c>
      <c r="M228" t="s">
        <v>85</v>
      </c>
      <c r="O228" t="s">
        <v>14</v>
      </c>
      <c r="P228" t="s">
        <v>568</v>
      </c>
      <c r="Q228" t="s">
        <v>569</v>
      </c>
      <c r="R228">
        <v>2019</v>
      </c>
      <c r="S228" t="s">
        <v>158</v>
      </c>
      <c r="U228" t="s">
        <v>570</v>
      </c>
      <c r="V228" t="s">
        <v>571</v>
      </c>
      <c r="W228" t="s">
        <v>170</v>
      </c>
      <c r="X228" t="s">
        <v>572</v>
      </c>
      <c r="Y228" t="s">
        <v>573</v>
      </c>
      <c r="Z228" t="s">
        <v>574</v>
      </c>
      <c r="AA228" t="s">
        <v>575</v>
      </c>
      <c r="AB228" t="s">
        <v>576</v>
      </c>
      <c r="AC228" t="s">
        <v>577</v>
      </c>
      <c r="AD228" t="s">
        <v>132</v>
      </c>
      <c r="AE228" t="s">
        <v>316</v>
      </c>
      <c r="AF228" t="s">
        <v>260</v>
      </c>
      <c r="AG228" t="s">
        <v>102</v>
      </c>
      <c r="AH228" t="s">
        <v>262</v>
      </c>
      <c r="AI228" t="s">
        <v>103</v>
      </c>
      <c r="AJ228" t="s">
        <v>135</v>
      </c>
      <c r="AK228">
        <v>14</v>
      </c>
      <c r="AL228">
        <v>20</v>
      </c>
      <c r="AM228" t="s">
        <v>229</v>
      </c>
      <c r="AN228" t="s">
        <v>106</v>
      </c>
      <c r="AO228">
        <v>32.744827999999998</v>
      </c>
      <c r="AP228">
        <v>-117.255264</v>
      </c>
      <c r="AQ228">
        <v>0</v>
      </c>
      <c r="AW228" t="s">
        <v>578</v>
      </c>
      <c r="AX228">
        <v>20</v>
      </c>
      <c r="AY228" t="s">
        <v>134</v>
      </c>
      <c r="AZ228" t="s">
        <v>109</v>
      </c>
      <c r="BA228" t="s">
        <v>180</v>
      </c>
      <c r="BB228">
        <v>20</v>
      </c>
      <c r="BC228">
        <v>25</v>
      </c>
      <c r="BE228" t="s">
        <v>139</v>
      </c>
      <c r="BN228">
        <v>36</v>
      </c>
      <c r="BP228">
        <v>12</v>
      </c>
      <c r="BR228" t="s">
        <v>69</v>
      </c>
      <c r="BS228" t="s">
        <v>515</v>
      </c>
      <c r="BU228" t="s">
        <v>586</v>
      </c>
      <c r="BV228">
        <v>37.862499999999997</v>
      </c>
      <c r="BW228">
        <v>0.34034300000000001</v>
      </c>
      <c r="BX228">
        <v>16</v>
      </c>
      <c r="BY228">
        <v>38.118749999999999</v>
      </c>
      <c r="BZ228">
        <v>0.45050899999999999</v>
      </c>
      <c r="CA228">
        <v>16</v>
      </c>
      <c r="CB228" t="s">
        <v>113</v>
      </c>
      <c r="CC228" t="s">
        <v>365</v>
      </c>
    </row>
    <row r="229" spans="1:81" x14ac:dyDescent="0.25">
      <c r="A229" t="s">
        <v>81</v>
      </c>
      <c r="B229">
        <v>228</v>
      </c>
      <c r="C229">
        <v>43</v>
      </c>
      <c r="D229">
        <v>40</v>
      </c>
      <c r="E229">
        <v>38</v>
      </c>
      <c r="F229">
        <v>40</v>
      </c>
      <c r="G229">
        <v>105</v>
      </c>
      <c r="H229">
        <v>160</v>
      </c>
      <c r="I229" t="s">
        <v>566</v>
      </c>
      <c r="J229" t="s">
        <v>83</v>
      </c>
      <c r="K229" s="3" t="s">
        <v>567</v>
      </c>
      <c r="M229" t="s">
        <v>85</v>
      </c>
      <c r="O229" t="s">
        <v>14</v>
      </c>
      <c r="P229" t="s">
        <v>568</v>
      </c>
      <c r="Q229" t="s">
        <v>569</v>
      </c>
      <c r="R229">
        <v>2019</v>
      </c>
      <c r="S229" t="s">
        <v>158</v>
      </c>
      <c r="U229" t="s">
        <v>570</v>
      </c>
      <c r="V229" t="s">
        <v>571</v>
      </c>
      <c r="W229" t="s">
        <v>170</v>
      </c>
      <c r="X229" t="s">
        <v>572</v>
      </c>
      <c r="Y229" t="s">
        <v>573</v>
      </c>
      <c r="Z229" t="s">
        <v>574</v>
      </c>
      <c r="AA229" t="s">
        <v>575</v>
      </c>
      <c r="AB229" t="s">
        <v>576</v>
      </c>
      <c r="AC229" t="s">
        <v>577</v>
      </c>
      <c r="AD229" t="s">
        <v>132</v>
      </c>
      <c r="AE229" t="s">
        <v>316</v>
      </c>
      <c r="AF229" t="s">
        <v>260</v>
      </c>
      <c r="AG229" t="s">
        <v>102</v>
      </c>
      <c r="AH229" t="s">
        <v>262</v>
      </c>
      <c r="AI229" t="s">
        <v>103</v>
      </c>
      <c r="AJ229" t="s">
        <v>135</v>
      </c>
      <c r="AK229">
        <v>10</v>
      </c>
      <c r="AL229">
        <v>25</v>
      </c>
      <c r="AM229" t="s">
        <v>229</v>
      </c>
      <c r="AN229" t="s">
        <v>106</v>
      </c>
      <c r="AO229">
        <v>32.744827999999998</v>
      </c>
      <c r="AP229">
        <v>-117.255264</v>
      </c>
      <c r="AQ229">
        <v>0</v>
      </c>
      <c r="AW229" t="s">
        <v>578</v>
      </c>
      <c r="AX229">
        <v>20</v>
      </c>
      <c r="AY229" t="s">
        <v>134</v>
      </c>
      <c r="AZ229" t="s">
        <v>109</v>
      </c>
      <c r="BA229" t="s">
        <v>180</v>
      </c>
      <c r="BB229">
        <v>20</v>
      </c>
      <c r="BC229">
        <v>25</v>
      </c>
      <c r="BE229" t="s">
        <v>139</v>
      </c>
      <c r="BN229">
        <v>36</v>
      </c>
      <c r="BP229">
        <v>12</v>
      </c>
      <c r="BR229" t="s">
        <v>69</v>
      </c>
      <c r="BS229" t="s">
        <v>515</v>
      </c>
      <c r="BU229" t="s">
        <v>587</v>
      </c>
      <c r="BV229">
        <v>38.299999999999997</v>
      </c>
      <c r="BW229">
        <v>0.44572040000000002</v>
      </c>
      <c r="BX229">
        <v>16</v>
      </c>
      <c r="BY229">
        <v>39.056249999999999</v>
      </c>
      <c r="BZ229">
        <v>0.2096624</v>
      </c>
      <c r="CA229">
        <v>16</v>
      </c>
      <c r="CB229" t="s">
        <v>113</v>
      </c>
      <c r="CC229" t="s">
        <v>365</v>
      </c>
    </row>
    <row r="230" spans="1:81" x14ac:dyDescent="0.25">
      <c r="A230" t="s">
        <v>81</v>
      </c>
      <c r="B230">
        <v>229</v>
      </c>
      <c r="C230">
        <v>43</v>
      </c>
      <c r="D230">
        <v>40</v>
      </c>
      <c r="E230">
        <v>38</v>
      </c>
      <c r="F230">
        <v>40</v>
      </c>
      <c r="G230">
        <v>106</v>
      </c>
      <c r="H230">
        <v>161</v>
      </c>
      <c r="I230" t="s">
        <v>566</v>
      </c>
      <c r="J230" t="s">
        <v>83</v>
      </c>
      <c r="K230" s="3" t="s">
        <v>567</v>
      </c>
      <c r="M230" t="s">
        <v>85</v>
      </c>
      <c r="O230" t="s">
        <v>14</v>
      </c>
      <c r="P230" t="s">
        <v>568</v>
      </c>
      <c r="Q230" t="s">
        <v>569</v>
      </c>
      <c r="R230">
        <v>2019</v>
      </c>
      <c r="S230" t="s">
        <v>158</v>
      </c>
      <c r="U230" t="s">
        <v>570</v>
      </c>
      <c r="V230" t="s">
        <v>571</v>
      </c>
      <c r="W230" t="s">
        <v>170</v>
      </c>
      <c r="X230" t="s">
        <v>572</v>
      </c>
      <c r="Y230" t="s">
        <v>573</v>
      </c>
      <c r="Z230" t="s">
        <v>574</v>
      </c>
      <c r="AA230" t="s">
        <v>575</v>
      </c>
      <c r="AB230" t="s">
        <v>576</v>
      </c>
      <c r="AC230" t="s">
        <v>577</v>
      </c>
      <c r="AD230" t="s">
        <v>132</v>
      </c>
      <c r="AE230" t="s">
        <v>316</v>
      </c>
      <c r="AF230" t="s">
        <v>260</v>
      </c>
      <c r="AG230" t="s">
        <v>102</v>
      </c>
      <c r="AH230" t="s">
        <v>262</v>
      </c>
      <c r="AI230" t="s">
        <v>103</v>
      </c>
      <c r="AJ230" t="s">
        <v>135</v>
      </c>
      <c r="AK230">
        <v>14</v>
      </c>
      <c r="AL230">
        <v>25</v>
      </c>
      <c r="AM230" t="s">
        <v>229</v>
      </c>
      <c r="AN230" t="s">
        <v>106</v>
      </c>
      <c r="AO230">
        <v>32.744827999999998</v>
      </c>
      <c r="AP230">
        <v>-117.255264</v>
      </c>
      <c r="AQ230">
        <v>0</v>
      </c>
      <c r="AW230" t="s">
        <v>578</v>
      </c>
      <c r="AX230">
        <v>20</v>
      </c>
      <c r="AY230" t="s">
        <v>134</v>
      </c>
      <c r="AZ230" t="s">
        <v>109</v>
      </c>
      <c r="BA230" t="s">
        <v>180</v>
      </c>
      <c r="BB230">
        <v>20</v>
      </c>
      <c r="BC230">
        <v>25</v>
      </c>
      <c r="BE230" t="s">
        <v>139</v>
      </c>
      <c r="BN230">
        <v>36</v>
      </c>
      <c r="BP230">
        <v>12</v>
      </c>
      <c r="BR230" t="s">
        <v>69</v>
      </c>
      <c r="BS230" t="s">
        <v>515</v>
      </c>
      <c r="BU230" t="s">
        <v>588</v>
      </c>
      <c r="BV230">
        <v>38.0625</v>
      </c>
      <c r="BW230">
        <v>0.40640700000000002</v>
      </c>
      <c r="BX230">
        <v>16</v>
      </c>
      <c r="BY230">
        <v>39.137500000000003</v>
      </c>
      <c r="BZ230">
        <v>0.33441490000000001</v>
      </c>
      <c r="CA230">
        <v>16</v>
      </c>
      <c r="CB230" t="s">
        <v>113</v>
      </c>
      <c r="CC230" t="s">
        <v>365</v>
      </c>
    </row>
    <row r="231" spans="1:81" x14ac:dyDescent="0.25">
      <c r="A231" t="s">
        <v>81</v>
      </c>
      <c r="B231">
        <v>230</v>
      </c>
      <c r="C231">
        <v>44</v>
      </c>
      <c r="D231">
        <v>41</v>
      </c>
      <c r="E231">
        <v>39</v>
      </c>
      <c r="F231">
        <v>41</v>
      </c>
      <c r="G231">
        <v>107</v>
      </c>
      <c r="H231">
        <v>162</v>
      </c>
      <c r="I231" t="s">
        <v>589</v>
      </c>
      <c r="J231" t="s">
        <v>83</v>
      </c>
      <c r="K231" s="3" t="s">
        <v>590</v>
      </c>
      <c r="M231" t="s">
        <v>85</v>
      </c>
      <c r="O231" t="s">
        <v>14</v>
      </c>
      <c r="P231" t="s">
        <v>591</v>
      </c>
      <c r="Q231" t="s">
        <v>592</v>
      </c>
      <c r="R231">
        <v>2020</v>
      </c>
      <c r="S231" t="s">
        <v>146</v>
      </c>
      <c r="U231" t="s">
        <v>593</v>
      </c>
      <c r="V231" t="s">
        <v>594</v>
      </c>
      <c r="W231" t="s">
        <v>91</v>
      </c>
      <c r="X231" t="s">
        <v>126</v>
      </c>
      <c r="Y231" t="s">
        <v>434</v>
      </c>
      <c r="Z231" t="s">
        <v>435</v>
      </c>
      <c r="AA231" t="s">
        <v>595</v>
      </c>
      <c r="AB231" t="s">
        <v>596</v>
      </c>
      <c r="AC231" t="s">
        <v>597</v>
      </c>
      <c r="AD231" t="s">
        <v>132</v>
      </c>
      <c r="AE231" t="s">
        <v>133</v>
      </c>
      <c r="AF231" t="s">
        <v>100</v>
      </c>
      <c r="AG231" t="s">
        <v>102</v>
      </c>
      <c r="AH231" t="s">
        <v>102</v>
      </c>
      <c r="AI231" t="s">
        <v>134</v>
      </c>
      <c r="AJ231" t="s">
        <v>135</v>
      </c>
      <c r="AM231" t="s">
        <v>136</v>
      </c>
      <c r="AN231" t="s">
        <v>106</v>
      </c>
      <c r="AT231">
        <f>(8.875833+9.1975)/2</f>
        <v>9.036666499999999</v>
      </c>
      <c r="AU231">
        <f>(0.003925294+0.004235294)/2</f>
        <v>4.0802939999999999E-3</v>
      </c>
      <c r="AV231">
        <v>7</v>
      </c>
      <c r="AW231" t="s">
        <v>108</v>
      </c>
      <c r="AX231">
        <v>28.3</v>
      </c>
      <c r="AY231" t="s">
        <v>103</v>
      </c>
      <c r="AZ231" t="s">
        <v>109</v>
      </c>
      <c r="BB231">
        <v>28.4</v>
      </c>
      <c r="BC231">
        <v>29.4</v>
      </c>
      <c r="BD231">
        <f t="shared" ref="BD231:BD239" si="9">(0.1+0.3)/2</f>
        <v>0.2</v>
      </c>
      <c r="BE231" t="s">
        <v>139</v>
      </c>
      <c r="BF231">
        <v>7</v>
      </c>
      <c r="BG231">
        <f>0.49/60</f>
        <v>8.1666666666666658E-3</v>
      </c>
      <c r="BM231">
        <v>7.3</v>
      </c>
      <c r="BN231">
        <v>35.299999999999997</v>
      </c>
      <c r="BO231">
        <v>8.1</v>
      </c>
      <c r="BU231" t="s">
        <v>598</v>
      </c>
      <c r="BV231">
        <v>38.128889999999998</v>
      </c>
      <c r="BW231">
        <v>0.39342969999999999</v>
      </c>
      <c r="BX231">
        <v>18</v>
      </c>
      <c r="BY231">
        <v>38.143329999999999</v>
      </c>
      <c r="BZ231">
        <v>0.35489849000000001</v>
      </c>
      <c r="CA231">
        <v>18</v>
      </c>
      <c r="CB231" t="s">
        <v>113</v>
      </c>
      <c r="CC231" t="s">
        <v>365</v>
      </c>
    </row>
    <row r="232" spans="1:81" x14ac:dyDescent="0.25">
      <c r="A232" t="s">
        <v>81</v>
      </c>
      <c r="B232">
        <v>231</v>
      </c>
      <c r="C232">
        <v>44</v>
      </c>
      <c r="D232">
        <v>41</v>
      </c>
      <c r="E232">
        <v>39</v>
      </c>
      <c r="F232">
        <v>41</v>
      </c>
      <c r="G232">
        <v>108</v>
      </c>
      <c r="H232">
        <v>163</v>
      </c>
      <c r="I232" t="s">
        <v>589</v>
      </c>
      <c r="J232" t="s">
        <v>83</v>
      </c>
      <c r="K232" s="3" t="s">
        <v>590</v>
      </c>
      <c r="M232" t="s">
        <v>85</v>
      </c>
      <c r="O232" t="s">
        <v>14</v>
      </c>
      <c r="P232" t="s">
        <v>591</v>
      </c>
      <c r="Q232" t="s">
        <v>592</v>
      </c>
      <c r="R232">
        <v>2020</v>
      </c>
      <c r="S232" t="s">
        <v>146</v>
      </c>
      <c r="U232" t="s">
        <v>593</v>
      </c>
      <c r="V232" t="s">
        <v>594</v>
      </c>
      <c r="W232" t="s">
        <v>91</v>
      </c>
      <c r="X232" t="s">
        <v>126</v>
      </c>
      <c r="Y232" t="s">
        <v>434</v>
      </c>
      <c r="Z232" t="s">
        <v>435</v>
      </c>
      <c r="AA232" t="s">
        <v>595</v>
      </c>
      <c r="AB232" t="s">
        <v>596</v>
      </c>
      <c r="AC232" t="s">
        <v>597</v>
      </c>
      <c r="AD232" t="s">
        <v>132</v>
      </c>
      <c r="AE232" t="s">
        <v>133</v>
      </c>
      <c r="AF232" t="s">
        <v>100</v>
      </c>
      <c r="AG232" t="s">
        <v>102</v>
      </c>
      <c r="AH232" t="s">
        <v>102</v>
      </c>
      <c r="AI232" t="s">
        <v>134</v>
      </c>
      <c r="AJ232" t="s">
        <v>135</v>
      </c>
      <c r="AM232" t="s">
        <v>136</v>
      </c>
      <c r="AN232" t="s">
        <v>106</v>
      </c>
      <c r="AO232" s="6"/>
      <c r="AT232">
        <f>(8.703333+9.056667)/2</f>
        <v>8.879999999999999</v>
      </c>
      <c r="AU232">
        <f>(0.004428667+0.003925556)/2</f>
        <v>4.1771115000000004E-3</v>
      </c>
      <c r="AV232">
        <v>7</v>
      </c>
      <c r="AW232" t="s">
        <v>108</v>
      </c>
      <c r="AX232">
        <v>28.3</v>
      </c>
      <c r="AY232" t="s">
        <v>103</v>
      </c>
      <c r="AZ232" t="s">
        <v>109</v>
      </c>
      <c r="BB232">
        <v>28.4</v>
      </c>
      <c r="BC232">
        <v>29.4</v>
      </c>
      <c r="BD232">
        <f t="shared" si="9"/>
        <v>0.2</v>
      </c>
      <c r="BE232" t="s">
        <v>139</v>
      </c>
      <c r="BF232">
        <v>7</v>
      </c>
      <c r="BG232">
        <f>1/60</f>
        <v>1.6666666666666666E-2</v>
      </c>
      <c r="BM232">
        <v>7.3</v>
      </c>
      <c r="BN232">
        <v>35.299999999999997</v>
      </c>
      <c r="BO232">
        <v>8.1</v>
      </c>
      <c r="BU232" t="s">
        <v>599</v>
      </c>
      <c r="BV232">
        <v>38.138890000000004</v>
      </c>
      <c r="BW232">
        <v>0.22454893000000001</v>
      </c>
      <c r="BX232">
        <v>18</v>
      </c>
      <c r="BY232">
        <v>38.119999999999997</v>
      </c>
      <c r="BZ232">
        <v>0.23366643000000001</v>
      </c>
      <c r="CA232">
        <v>18</v>
      </c>
      <c r="CB232" t="s">
        <v>113</v>
      </c>
      <c r="CC232" t="s">
        <v>365</v>
      </c>
    </row>
    <row r="233" spans="1:81" x14ac:dyDescent="0.25">
      <c r="A233" t="s">
        <v>81</v>
      </c>
      <c r="B233">
        <v>232</v>
      </c>
      <c r="C233">
        <v>44</v>
      </c>
      <c r="D233">
        <v>41</v>
      </c>
      <c r="E233">
        <v>39</v>
      </c>
      <c r="F233">
        <v>41</v>
      </c>
      <c r="G233">
        <v>109</v>
      </c>
      <c r="H233">
        <v>164</v>
      </c>
      <c r="I233" t="s">
        <v>589</v>
      </c>
      <c r="J233" t="s">
        <v>83</v>
      </c>
      <c r="K233" s="3" t="s">
        <v>590</v>
      </c>
      <c r="M233" t="s">
        <v>85</v>
      </c>
      <c r="O233" t="s">
        <v>14</v>
      </c>
      <c r="P233" t="s">
        <v>591</v>
      </c>
      <c r="Q233" t="s">
        <v>592</v>
      </c>
      <c r="R233">
        <v>2020</v>
      </c>
      <c r="S233" t="s">
        <v>146</v>
      </c>
      <c r="U233" t="s">
        <v>593</v>
      </c>
      <c r="V233" t="s">
        <v>594</v>
      </c>
      <c r="W233" t="s">
        <v>91</v>
      </c>
      <c r="X233" t="s">
        <v>126</v>
      </c>
      <c r="Y233" t="s">
        <v>434</v>
      </c>
      <c r="Z233" t="s">
        <v>435</v>
      </c>
      <c r="AA233" t="s">
        <v>595</v>
      </c>
      <c r="AB233" t="s">
        <v>596</v>
      </c>
      <c r="AC233" t="s">
        <v>597</v>
      </c>
      <c r="AD233" t="s">
        <v>132</v>
      </c>
      <c r="AE233" t="s">
        <v>133</v>
      </c>
      <c r="AF233" t="s">
        <v>100</v>
      </c>
      <c r="AG233" t="s">
        <v>102</v>
      </c>
      <c r="AH233" t="s">
        <v>102</v>
      </c>
      <c r="AI233" t="s">
        <v>134</v>
      </c>
      <c r="AJ233" t="s">
        <v>135</v>
      </c>
      <c r="AM233" t="s">
        <v>136</v>
      </c>
      <c r="AN233" t="s">
        <v>106</v>
      </c>
      <c r="AT233">
        <f>(8.254167+8.738333)/2</f>
        <v>8.4962499999999999</v>
      </c>
      <c r="AU233">
        <f>(0.004081111+0.004716667)/2</f>
        <v>4.3988889999999996E-3</v>
      </c>
      <c r="AV233">
        <v>7</v>
      </c>
      <c r="AW233" t="s">
        <v>108</v>
      </c>
      <c r="AX233">
        <v>28.3</v>
      </c>
      <c r="AY233" t="s">
        <v>103</v>
      </c>
      <c r="AZ233" t="s">
        <v>109</v>
      </c>
      <c r="BB233">
        <v>28.4</v>
      </c>
      <c r="BC233">
        <v>29.4</v>
      </c>
      <c r="BD233">
        <f t="shared" si="9"/>
        <v>0.2</v>
      </c>
      <c r="BE233" t="s">
        <v>139</v>
      </c>
      <c r="BF233">
        <v>7</v>
      </c>
      <c r="BG233">
        <f>5.04/60</f>
        <v>8.4000000000000005E-2</v>
      </c>
      <c r="BM233">
        <v>7.3</v>
      </c>
      <c r="BN233">
        <v>35.299999999999997</v>
      </c>
      <c r="BO233">
        <v>8.1</v>
      </c>
      <c r="BU233" t="s">
        <v>600</v>
      </c>
      <c r="BV233">
        <v>38.14667</v>
      </c>
      <c r="BW233">
        <v>0.15755485</v>
      </c>
      <c r="BX233">
        <v>18</v>
      </c>
      <c r="BY233">
        <v>38.115000000000002</v>
      </c>
      <c r="BZ233">
        <v>0.17951733</v>
      </c>
      <c r="CA233">
        <v>18</v>
      </c>
      <c r="CB233" t="s">
        <v>113</v>
      </c>
      <c r="CC233" t="s">
        <v>365</v>
      </c>
    </row>
    <row r="234" spans="1:81" x14ac:dyDescent="0.25">
      <c r="A234" t="s">
        <v>81</v>
      </c>
      <c r="B234">
        <v>233</v>
      </c>
      <c r="C234">
        <v>44</v>
      </c>
      <c r="D234">
        <v>41</v>
      </c>
      <c r="E234">
        <v>39</v>
      </c>
      <c r="F234">
        <v>41</v>
      </c>
      <c r="G234">
        <v>110</v>
      </c>
      <c r="H234">
        <v>165</v>
      </c>
      <c r="I234" t="s">
        <v>589</v>
      </c>
      <c r="J234" t="s">
        <v>83</v>
      </c>
      <c r="K234" s="3" t="s">
        <v>590</v>
      </c>
      <c r="M234" t="s">
        <v>85</v>
      </c>
      <c r="O234" t="s">
        <v>14</v>
      </c>
      <c r="P234" t="s">
        <v>591</v>
      </c>
      <c r="Q234" t="s">
        <v>592</v>
      </c>
      <c r="R234">
        <v>2020</v>
      </c>
      <c r="S234" t="s">
        <v>146</v>
      </c>
      <c r="U234" t="s">
        <v>593</v>
      </c>
      <c r="V234" t="s">
        <v>594</v>
      </c>
      <c r="W234" t="s">
        <v>91</v>
      </c>
      <c r="X234" t="s">
        <v>126</v>
      </c>
      <c r="Y234" t="s">
        <v>434</v>
      </c>
      <c r="Z234" t="s">
        <v>435</v>
      </c>
      <c r="AA234" t="s">
        <v>595</v>
      </c>
      <c r="AB234" t="s">
        <v>596</v>
      </c>
      <c r="AC234" t="s">
        <v>597</v>
      </c>
      <c r="AD234" t="s">
        <v>132</v>
      </c>
      <c r="AE234" t="s">
        <v>133</v>
      </c>
      <c r="AF234" t="s">
        <v>100</v>
      </c>
      <c r="AG234" t="s">
        <v>102</v>
      </c>
      <c r="AH234" t="s">
        <v>102</v>
      </c>
      <c r="AI234" t="s">
        <v>134</v>
      </c>
      <c r="AJ234" t="s">
        <v>135</v>
      </c>
      <c r="AM234" t="s">
        <v>136</v>
      </c>
      <c r="AN234" t="s">
        <v>106</v>
      </c>
      <c r="AT234">
        <f>(11.7675+12.045)/2</f>
        <v>11.90625</v>
      </c>
      <c r="AU234">
        <f>(0.009515+0.01062235)/2</f>
        <v>1.0068674999999999E-2</v>
      </c>
      <c r="AV234">
        <v>14</v>
      </c>
      <c r="AW234" t="s">
        <v>108</v>
      </c>
      <c r="AX234">
        <v>28.3</v>
      </c>
      <c r="AY234" t="s">
        <v>103</v>
      </c>
      <c r="AZ234" t="s">
        <v>109</v>
      </c>
      <c r="BB234">
        <v>28.4</v>
      </c>
      <c r="BC234">
        <v>29.4</v>
      </c>
      <c r="BD234">
        <f t="shared" si="9"/>
        <v>0.2</v>
      </c>
      <c r="BE234" t="s">
        <v>139</v>
      </c>
      <c r="BF234">
        <v>14</v>
      </c>
      <c r="BG234">
        <f>0.49/60</f>
        <v>8.1666666666666658E-3</v>
      </c>
      <c r="BM234">
        <v>7.3</v>
      </c>
      <c r="BN234">
        <v>35.299999999999997</v>
      </c>
      <c r="BO234">
        <v>8.1</v>
      </c>
      <c r="BU234" t="s">
        <v>601</v>
      </c>
      <c r="BV234">
        <v>36.196669999999997</v>
      </c>
      <c r="BW234">
        <v>0.27437630000000002</v>
      </c>
      <c r="BX234">
        <v>18</v>
      </c>
      <c r="BY234">
        <v>36.229410000000001</v>
      </c>
      <c r="BZ234">
        <v>0.26759274999999999</v>
      </c>
      <c r="CA234">
        <v>17</v>
      </c>
      <c r="CB234" t="s">
        <v>113</v>
      </c>
      <c r="CC234" t="s">
        <v>365</v>
      </c>
    </row>
    <row r="235" spans="1:81" x14ac:dyDescent="0.25">
      <c r="A235" t="s">
        <v>81</v>
      </c>
      <c r="B235">
        <v>234</v>
      </c>
      <c r="C235">
        <v>44</v>
      </c>
      <c r="D235">
        <v>41</v>
      </c>
      <c r="E235">
        <v>39</v>
      </c>
      <c r="F235">
        <v>41</v>
      </c>
      <c r="G235">
        <v>111</v>
      </c>
      <c r="H235">
        <v>166</v>
      </c>
      <c r="I235" t="s">
        <v>589</v>
      </c>
      <c r="J235" t="s">
        <v>83</v>
      </c>
      <c r="K235" s="3" t="s">
        <v>590</v>
      </c>
      <c r="M235" t="s">
        <v>85</v>
      </c>
      <c r="O235" t="s">
        <v>14</v>
      </c>
      <c r="P235" t="s">
        <v>591</v>
      </c>
      <c r="Q235" t="s">
        <v>592</v>
      </c>
      <c r="R235">
        <v>2020</v>
      </c>
      <c r="S235" t="s">
        <v>146</v>
      </c>
      <c r="U235" t="s">
        <v>593</v>
      </c>
      <c r="V235" t="s">
        <v>594</v>
      </c>
      <c r="W235" t="s">
        <v>91</v>
      </c>
      <c r="X235" t="s">
        <v>126</v>
      </c>
      <c r="Y235" t="s">
        <v>434</v>
      </c>
      <c r="Z235" t="s">
        <v>435</v>
      </c>
      <c r="AA235" t="s">
        <v>595</v>
      </c>
      <c r="AB235" t="s">
        <v>596</v>
      </c>
      <c r="AC235" t="s">
        <v>597</v>
      </c>
      <c r="AD235" t="s">
        <v>132</v>
      </c>
      <c r="AE235" t="s">
        <v>133</v>
      </c>
      <c r="AF235" t="s">
        <v>100</v>
      </c>
      <c r="AG235" t="s">
        <v>102</v>
      </c>
      <c r="AH235" t="s">
        <v>102</v>
      </c>
      <c r="AI235" t="s">
        <v>134</v>
      </c>
      <c r="AJ235" t="s">
        <v>135</v>
      </c>
      <c r="AM235" t="s">
        <v>136</v>
      </c>
      <c r="AN235" t="s">
        <v>106</v>
      </c>
      <c r="AT235">
        <f>(11.325833+11.745)/2</f>
        <v>11.5354165</v>
      </c>
      <c r="AU235">
        <f>(0.009471111+0.01085667)/2</f>
        <v>1.0163890500000002E-2</v>
      </c>
      <c r="AV235">
        <v>14</v>
      </c>
      <c r="AW235" t="s">
        <v>108</v>
      </c>
      <c r="AX235">
        <v>28.3</v>
      </c>
      <c r="AY235" t="s">
        <v>103</v>
      </c>
      <c r="AZ235" t="s">
        <v>109</v>
      </c>
      <c r="BB235">
        <v>28.4</v>
      </c>
      <c r="BC235">
        <v>29.4</v>
      </c>
      <c r="BD235">
        <f t="shared" si="9"/>
        <v>0.2</v>
      </c>
      <c r="BE235" t="s">
        <v>139</v>
      </c>
      <c r="BF235">
        <v>14</v>
      </c>
      <c r="BG235">
        <f>1/60</f>
        <v>1.6666666666666666E-2</v>
      </c>
      <c r="BM235">
        <v>7.3</v>
      </c>
      <c r="BN235">
        <v>35.299999999999997</v>
      </c>
      <c r="BO235">
        <v>8.1</v>
      </c>
      <c r="BU235" t="s">
        <v>602</v>
      </c>
      <c r="BV235">
        <v>36.348889999999997</v>
      </c>
      <c r="BW235">
        <v>0.34506417</v>
      </c>
      <c r="BX235">
        <v>18</v>
      </c>
      <c r="BY235">
        <v>36.46</v>
      </c>
      <c r="BZ235">
        <v>0.29211197999999999</v>
      </c>
      <c r="CA235">
        <v>18</v>
      </c>
      <c r="CB235" t="s">
        <v>113</v>
      </c>
      <c r="CC235" t="s">
        <v>365</v>
      </c>
    </row>
    <row r="236" spans="1:81" x14ac:dyDescent="0.25">
      <c r="A236" t="s">
        <v>81</v>
      </c>
      <c r="B236">
        <v>235</v>
      </c>
      <c r="C236">
        <v>44</v>
      </c>
      <c r="D236">
        <v>41</v>
      </c>
      <c r="E236">
        <v>39</v>
      </c>
      <c r="F236">
        <v>41</v>
      </c>
      <c r="G236">
        <v>112</v>
      </c>
      <c r="H236">
        <v>167</v>
      </c>
      <c r="I236" t="s">
        <v>589</v>
      </c>
      <c r="J236" t="s">
        <v>83</v>
      </c>
      <c r="K236" s="3" t="s">
        <v>590</v>
      </c>
      <c r="M236" t="s">
        <v>85</v>
      </c>
      <c r="O236" t="s">
        <v>14</v>
      </c>
      <c r="P236" t="s">
        <v>591</v>
      </c>
      <c r="Q236" t="s">
        <v>592</v>
      </c>
      <c r="R236">
        <v>2020</v>
      </c>
      <c r="S236" t="s">
        <v>146</v>
      </c>
      <c r="U236" t="s">
        <v>593</v>
      </c>
      <c r="V236" t="s">
        <v>594</v>
      </c>
      <c r="W236" t="s">
        <v>91</v>
      </c>
      <c r="X236" t="s">
        <v>126</v>
      </c>
      <c r="Y236" t="s">
        <v>434</v>
      </c>
      <c r="Z236" t="s">
        <v>435</v>
      </c>
      <c r="AA236" t="s">
        <v>595</v>
      </c>
      <c r="AB236" t="s">
        <v>596</v>
      </c>
      <c r="AC236" t="s">
        <v>597</v>
      </c>
      <c r="AD236" t="s">
        <v>132</v>
      </c>
      <c r="AE236" t="s">
        <v>133</v>
      </c>
      <c r="AF236" t="s">
        <v>100</v>
      </c>
      <c r="AG236" t="s">
        <v>102</v>
      </c>
      <c r="AH236" t="s">
        <v>102</v>
      </c>
      <c r="AI236" t="s">
        <v>134</v>
      </c>
      <c r="AJ236" t="s">
        <v>135</v>
      </c>
      <c r="AM236" t="s">
        <v>136</v>
      </c>
      <c r="AN236" t="s">
        <v>106</v>
      </c>
      <c r="AT236">
        <f>(10.7675+11.225)/2</f>
        <v>10.99625</v>
      </c>
      <c r="AU236">
        <f>(0.009761111+0.01123278)/2</f>
        <v>1.04969455E-2</v>
      </c>
      <c r="AV236">
        <v>14</v>
      </c>
      <c r="AW236" t="s">
        <v>108</v>
      </c>
      <c r="AX236">
        <v>28.3</v>
      </c>
      <c r="AY236" t="s">
        <v>103</v>
      </c>
      <c r="AZ236" t="s">
        <v>109</v>
      </c>
      <c r="BB236">
        <v>28.4</v>
      </c>
      <c r="BC236">
        <v>29.4</v>
      </c>
      <c r="BD236">
        <f t="shared" si="9"/>
        <v>0.2</v>
      </c>
      <c r="BE236" t="s">
        <v>139</v>
      </c>
      <c r="BF236">
        <v>14</v>
      </c>
      <c r="BG236">
        <f>5.04/60</f>
        <v>8.4000000000000005E-2</v>
      </c>
      <c r="BM236">
        <v>7.3</v>
      </c>
      <c r="BN236">
        <v>35.299999999999997</v>
      </c>
      <c r="BO236">
        <v>8.1</v>
      </c>
      <c r="BU236" t="s">
        <v>603</v>
      </c>
      <c r="BV236">
        <v>38.138890000000004</v>
      </c>
      <c r="BW236">
        <v>0.22454893000000001</v>
      </c>
      <c r="BX236">
        <v>18</v>
      </c>
      <c r="BY236">
        <v>38.119999999999997</v>
      </c>
      <c r="BZ236">
        <v>0.23366643000000001</v>
      </c>
      <c r="CA236">
        <v>18</v>
      </c>
      <c r="CB236" t="s">
        <v>113</v>
      </c>
      <c r="CC236" t="s">
        <v>365</v>
      </c>
    </row>
    <row r="237" spans="1:81" x14ac:dyDescent="0.25">
      <c r="A237" t="s">
        <v>81</v>
      </c>
      <c r="B237">
        <v>236</v>
      </c>
      <c r="C237">
        <v>44</v>
      </c>
      <c r="D237">
        <v>41</v>
      </c>
      <c r="E237">
        <v>39</v>
      </c>
      <c r="F237">
        <v>41</v>
      </c>
      <c r="G237">
        <v>113</v>
      </c>
      <c r="H237">
        <v>168</v>
      </c>
      <c r="I237" t="s">
        <v>589</v>
      </c>
      <c r="J237" t="s">
        <v>83</v>
      </c>
      <c r="K237" s="3" t="s">
        <v>590</v>
      </c>
      <c r="M237" t="s">
        <v>85</v>
      </c>
      <c r="O237" t="s">
        <v>14</v>
      </c>
      <c r="P237" t="s">
        <v>591</v>
      </c>
      <c r="Q237" t="s">
        <v>592</v>
      </c>
      <c r="R237">
        <v>2020</v>
      </c>
      <c r="S237" t="s">
        <v>146</v>
      </c>
      <c r="U237" t="s">
        <v>593</v>
      </c>
      <c r="V237" t="s">
        <v>594</v>
      </c>
      <c r="W237" t="s">
        <v>91</v>
      </c>
      <c r="X237" t="s">
        <v>126</v>
      </c>
      <c r="Y237" t="s">
        <v>434</v>
      </c>
      <c r="Z237" t="s">
        <v>435</v>
      </c>
      <c r="AA237" t="s">
        <v>595</v>
      </c>
      <c r="AB237" t="s">
        <v>596</v>
      </c>
      <c r="AC237" t="s">
        <v>597</v>
      </c>
      <c r="AD237" t="s">
        <v>132</v>
      </c>
      <c r="AE237" t="s">
        <v>133</v>
      </c>
      <c r="AF237" t="s">
        <v>100</v>
      </c>
      <c r="AG237" t="s">
        <v>102</v>
      </c>
      <c r="AH237" t="s">
        <v>102</v>
      </c>
      <c r="AI237" t="s">
        <v>134</v>
      </c>
      <c r="AJ237" t="s">
        <v>135</v>
      </c>
      <c r="AM237" t="s">
        <v>136</v>
      </c>
      <c r="AN237" t="s">
        <v>106</v>
      </c>
      <c r="AT237">
        <f>(14.948333+15.191667)/2</f>
        <v>15.07</v>
      </c>
      <c r="AU237">
        <f>(0.02287889+0.02573944)/2</f>
        <v>2.4309165000000001E-2</v>
      </c>
      <c r="AV237">
        <v>21</v>
      </c>
      <c r="AW237" t="s">
        <v>108</v>
      </c>
      <c r="AX237">
        <v>28.3</v>
      </c>
      <c r="AY237" t="s">
        <v>103</v>
      </c>
      <c r="AZ237" t="s">
        <v>109</v>
      </c>
      <c r="BB237">
        <v>28.4</v>
      </c>
      <c r="BC237">
        <v>29.4</v>
      </c>
      <c r="BD237">
        <f t="shared" si="9"/>
        <v>0.2</v>
      </c>
      <c r="BE237" t="s">
        <v>139</v>
      </c>
      <c r="BF237">
        <v>21</v>
      </c>
      <c r="BG237">
        <f>0.49/60</f>
        <v>8.1666666666666658E-3</v>
      </c>
      <c r="BM237">
        <v>7.3</v>
      </c>
      <c r="BN237">
        <v>35.299999999999997</v>
      </c>
      <c r="BO237">
        <v>8.1</v>
      </c>
      <c r="BU237" t="s">
        <v>604</v>
      </c>
      <c r="BV237">
        <v>35.997779999999999</v>
      </c>
      <c r="BW237">
        <v>0.18348122</v>
      </c>
      <c r="BX237">
        <v>18</v>
      </c>
      <c r="BY237">
        <v>36.043889999999998</v>
      </c>
      <c r="BZ237">
        <v>0.19811282999999999</v>
      </c>
      <c r="CA237">
        <v>18</v>
      </c>
      <c r="CB237" t="s">
        <v>113</v>
      </c>
      <c r="CC237" t="s">
        <v>365</v>
      </c>
    </row>
    <row r="238" spans="1:81" x14ac:dyDescent="0.25">
      <c r="A238" t="s">
        <v>81</v>
      </c>
      <c r="B238">
        <v>237</v>
      </c>
      <c r="C238">
        <v>44</v>
      </c>
      <c r="D238">
        <v>41</v>
      </c>
      <c r="E238">
        <v>39</v>
      </c>
      <c r="F238">
        <v>41</v>
      </c>
      <c r="G238">
        <v>114</v>
      </c>
      <c r="H238">
        <v>169</v>
      </c>
      <c r="I238" t="s">
        <v>589</v>
      </c>
      <c r="J238" t="s">
        <v>83</v>
      </c>
      <c r="K238" s="3" t="s">
        <v>590</v>
      </c>
      <c r="M238" t="s">
        <v>85</v>
      </c>
      <c r="O238" t="s">
        <v>14</v>
      </c>
      <c r="P238" t="s">
        <v>591</v>
      </c>
      <c r="Q238" t="s">
        <v>592</v>
      </c>
      <c r="R238">
        <v>2020</v>
      </c>
      <c r="S238" t="s">
        <v>146</v>
      </c>
      <c r="U238" t="s">
        <v>593</v>
      </c>
      <c r="V238" t="s">
        <v>594</v>
      </c>
      <c r="W238" t="s">
        <v>91</v>
      </c>
      <c r="X238" t="s">
        <v>126</v>
      </c>
      <c r="Y238" t="s">
        <v>434</v>
      </c>
      <c r="Z238" t="s">
        <v>435</v>
      </c>
      <c r="AA238" t="s">
        <v>595</v>
      </c>
      <c r="AB238" t="s">
        <v>596</v>
      </c>
      <c r="AC238" t="s">
        <v>597</v>
      </c>
      <c r="AD238" t="s">
        <v>132</v>
      </c>
      <c r="AE238" t="s">
        <v>133</v>
      </c>
      <c r="AF238" t="s">
        <v>100</v>
      </c>
      <c r="AG238" t="s">
        <v>102</v>
      </c>
      <c r="AH238" t="s">
        <v>102</v>
      </c>
      <c r="AI238" t="s">
        <v>134</v>
      </c>
      <c r="AJ238" t="s">
        <v>135</v>
      </c>
      <c r="AM238" t="s">
        <v>136</v>
      </c>
      <c r="AN238" t="s">
        <v>106</v>
      </c>
      <c r="AT238">
        <f>(14.739167+15.003333)/2</f>
        <v>14.87125</v>
      </c>
      <c r="AU238">
        <f>(0.02214611+0.02959)/2</f>
        <v>2.5868055000000001E-2</v>
      </c>
      <c r="AV238">
        <v>21</v>
      </c>
      <c r="AW238" t="s">
        <v>108</v>
      </c>
      <c r="AX238">
        <v>28.3</v>
      </c>
      <c r="AY238" t="s">
        <v>103</v>
      </c>
      <c r="AZ238" t="s">
        <v>109</v>
      </c>
      <c r="BB238">
        <v>28.4</v>
      </c>
      <c r="BC238">
        <v>29.4</v>
      </c>
      <c r="BD238">
        <f t="shared" si="9"/>
        <v>0.2</v>
      </c>
      <c r="BE238" t="s">
        <v>139</v>
      </c>
      <c r="BF238">
        <v>21</v>
      </c>
      <c r="BG238">
        <f>1/60</f>
        <v>1.6666666666666666E-2</v>
      </c>
      <c r="BM238">
        <v>7.3</v>
      </c>
      <c r="BN238">
        <v>35.299999999999997</v>
      </c>
      <c r="BO238">
        <v>8.1</v>
      </c>
      <c r="BU238" t="s">
        <v>605</v>
      </c>
      <c r="BV238">
        <v>36.23556</v>
      </c>
      <c r="BW238">
        <v>0.11571884</v>
      </c>
      <c r="BX238">
        <v>18</v>
      </c>
      <c r="BY238">
        <v>36.295560000000002</v>
      </c>
      <c r="BZ238">
        <v>9.0957150000000001E-2</v>
      </c>
      <c r="CA238">
        <v>18</v>
      </c>
      <c r="CB238" t="s">
        <v>113</v>
      </c>
      <c r="CC238" t="s">
        <v>365</v>
      </c>
    </row>
    <row r="239" spans="1:81" x14ac:dyDescent="0.25">
      <c r="A239" t="s">
        <v>81</v>
      </c>
      <c r="B239">
        <v>238</v>
      </c>
      <c r="C239">
        <v>44</v>
      </c>
      <c r="D239">
        <v>41</v>
      </c>
      <c r="E239">
        <v>39</v>
      </c>
      <c r="F239">
        <v>41</v>
      </c>
      <c r="G239">
        <v>115</v>
      </c>
      <c r="H239">
        <v>170</v>
      </c>
      <c r="I239" t="s">
        <v>589</v>
      </c>
      <c r="J239" t="s">
        <v>83</v>
      </c>
      <c r="K239" s="3" t="s">
        <v>590</v>
      </c>
      <c r="M239" t="s">
        <v>85</v>
      </c>
      <c r="O239" t="s">
        <v>14</v>
      </c>
      <c r="P239" t="s">
        <v>591</v>
      </c>
      <c r="Q239" t="s">
        <v>592</v>
      </c>
      <c r="R239">
        <v>2020</v>
      </c>
      <c r="S239" t="s">
        <v>146</v>
      </c>
      <c r="U239" t="s">
        <v>593</v>
      </c>
      <c r="V239" t="s">
        <v>594</v>
      </c>
      <c r="W239" t="s">
        <v>91</v>
      </c>
      <c r="X239" t="s">
        <v>126</v>
      </c>
      <c r="Y239" t="s">
        <v>434</v>
      </c>
      <c r="Z239" t="s">
        <v>435</v>
      </c>
      <c r="AA239" t="s">
        <v>595</v>
      </c>
      <c r="AB239" t="s">
        <v>596</v>
      </c>
      <c r="AC239" t="s">
        <v>597</v>
      </c>
      <c r="AD239" t="s">
        <v>132</v>
      </c>
      <c r="AE239" t="s">
        <v>133</v>
      </c>
      <c r="AF239" t="s">
        <v>100</v>
      </c>
      <c r="AG239" t="s">
        <v>102</v>
      </c>
      <c r="AH239" t="s">
        <v>102</v>
      </c>
      <c r="AI239" t="s">
        <v>134</v>
      </c>
      <c r="AJ239" t="s">
        <v>135</v>
      </c>
      <c r="AM239" t="s">
        <v>136</v>
      </c>
      <c r="AN239" t="s">
        <v>106</v>
      </c>
      <c r="AT239">
        <f>(14.169167+14.67)/2</f>
        <v>14.4195835</v>
      </c>
      <c r="AU239">
        <f>(0.022645+0.02722556)/2</f>
        <v>2.4935279999999997E-2</v>
      </c>
      <c r="AV239">
        <v>21</v>
      </c>
      <c r="AW239" t="s">
        <v>108</v>
      </c>
      <c r="AX239">
        <v>28.3</v>
      </c>
      <c r="AY239" t="s">
        <v>103</v>
      </c>
      <c r="AZ239" t="s">
        <v>109</v>
      </c>
      <c r="BB239">
        <v>28.4</v>
      </c>
      <c r="BC239">
        <v>29.4</v>
      </c>
      <c r="BD239">
        <f t="shared" si="9"/>
        <v>0.2</v>
      </c>
      <c r="BE239" t="s">
        <v>139</v>
      </c>
      <c r="BF239">
        <v>21</v>
      </c>
      <c r="BG239">
        <f>5.04/60</f>
        <v>8.4000000000000005E-2</v>
      </c>
      <c r="BM239">
        <v>7.3</v>
      </c>
      <c r="BN239">
        <v>35.299999999999997</v>
      </c>
      <c r="BO239">
        <v>8.1</v>
      </c>
      <c r="BU239" t="s">
        <v>606</v>
      </c>
      <c r="BV239">
        <v>38.14667</v>
      </c>
      <c r="BW239">
        <v>0.15755485</v>
      </c>
      <c r="BX239">
        <v>18</v>
      </c>
      <c r="BY239">
        <v>38.115000000000002</v>
      </c>
      <c r="BZ239">
        <v>0.17951733</v>
      </c>
      <c r="CA239">
        <v>18</v>
      </c>
      <c r="CB239" t="s">
        <v>113</v>
      </c>
      <c r="CC239" t="s">
        <v>365</v>
      </c>
    </row>
    <row r="240" spans="1:81" x14ac:dyDescent="0.25">
      <c r="A240" t="s">
        <v>81</v>
      </c>
      <c r="B240">
        <v>239</v>
      </c>
      <c r="C240">
        <v>44</v>
      </c>
      <c r="D240">
        <v>42</v>
      </c>
      <c r="E240">
        <v>40</v>
      </c>
      <c r="F240">
        <v>42</v>
      </c>
      <c r="G240">
        <v>116</v>
      </c>
      <c r="H240">
        <v>171</v>
      </c>
      <c r="I240" t="s">
        <v>589</v>
      </c>
      <c r="J240" t="s">
        <v>83</v>
      </c>
      <c r="K240" s="3" t="s">
        <v>590</v>
      </c>
      <c r="M240" t="s">
        <v>85</v>
      </c>
      <c r="O240" t="s">
        <v>14</v>
      </c>
      <c r="P240" t="s">
        <v>591</v>
      </c>
      <c r="Q240" t="s">
        <v>592</v>
      </c>
      <c r="R240">
        <v>2020</v>
      </c>
      <c r="S240" t="s">
        <v>146</v>
      </c>
      <c r="U240" t="s">
        <v>593</v>
      </c>
      <c r="V240" t="s">
        <v>594</v>
      </c>
      <c r="W240" t="s">
        <v>91</v>
      </c>
      <c r="X240" t="s">
        <v>126</v>
      </c>
      <c r="Y240" t="s">
        <v>434</v>
      </c>
      <c r="Z240" t="s">
        <v>435</v>
      </c>
      <c r="AA240" t="s">
        <v>607</v>
      </c>
      <c r="AB240" t="s">
        <v>608</v>
      </c>
      <c r="AC240" t="s">
        <v>609</v>
      </c>
      <c r="AD240" t="s">
        <v>132</v>
      </c>
      <c r="AE240" t="s">
        <v>133</v>
      </c>
      <c r="AF240" t="s">
        <v>100</v>
      </c>
      <c r="AG240" t="s">
        <v>102</v>
      </c>
      <c r="AH240" t="s">
        <v>102</v>
      </c>
      <c r="AI240" t="s">
        <v>134</v>
      </c>
      <c r="AJ240" t="s">
        <v>135</v>
      </c>
      <c r="AM240" t="s">
        <v>136</v>
      </c>
      <c r="AN240" t="s">
        <v>106</v>
      </c>
      <c r="AT240">
        <f>(4.722+4.941667)/2</f>
        <v>4.8318335000000001</v>
      </c>
      <c r="AU240">
        <f>(0.0004359167+0.0006103)/2</f>
        <v>5.2310835E-4</v>
      </c>
      <c r="AV240">
        <v>7</v>
      </c>
      <c r="AW240" t="s">
        <v>108</v>
      </c>
      <c r="AX240">
        <v>28.7</v>
      </c>
      <c r="AY240" t="s">
        <v>103</v>
      </c>
      <c r="AZ240" t="s">
        <v>109</v>
      </c>
      <c r="BB240">
        <v>28.4</v>
      </c>
      <c r="BC240">
        <v>29.6</v>
      </c>
      <c r="BD240">
        <f t="shared" ref="BD240:BD248" si="10">(0.1+0.2)/2</f>
        <v>0.15000000000000002</v>
      </c>
      <c r="BE240" t="s">
        <v>139</v>
      </c>
      <c r="BF240">
        <v>7</v>
      </c>
      <c r="BG240">
        <f>0.49/60</f>
        <v>8.1666666666666658E-3</v>
      </c>
      <c r="BM240">
        <v>6.6</v>
      </c>
      <c r="BN240">
        <v>33.799999999999997</v>
      </c>
      <c r="BO240">
        <v>8.1</v>
      </c>
      <c r="BU240" t="s">
        <v>610</v>
      </c>
      <c r="BV240">
        <v>32.92333</v>
      </c>
      <c r="BW240">
        <v>1.9866823300000001</v>
      </c>
      <c r="BX240">
        <v>6</v>
      </c>
      <c r="BY240">
        <v>34.441670000000002</v>
      </c>
      <c r="BZ240">
        <v>0.58516378999999996</v>
      </c>
      <c r="CA240">
        <v>6</v>
      </c>
      <c r="CB240" t="s">
        <v>113</v>
      </c>
      <c r="CC240" t="s">
        <v>365</v>
      </c>
    </row>
    <row r="241" spans="1:81" x14ac:dyDescent="0.25">
      <c r="A241" t="s">
        <v>81</v>
      </c>
      <c r="B241">
        <v>240</v>
      </c>
      <c r="C241">
        <v>44</v>
      </c>
      <c r="D241">
        <v>42</v>
      </c>
      <c r="E241">
        <v>40</v>
      </c>
      <c r="F241">
        <v>42</v>
      </c>
      <c r="G241">
        <v>117</v>
      </c>
      <c r="H241">
        <v>172</v>
      </c>
      <c r="I241" t="s">
        <v>589</v>
      </c>
      <c r="J241" t="s">
        <v>83</v>
      </c>
      <c r="K241" s="3" t="s">
        <v>590</v>
      </c>
      <c r="M241" t="s">
        <v>85</v>
      </c>
      <c r="O241" t="s">
        <v>14</v>
      </c>
      <c r="P241" t="s">
        <v>591</v>
      </c>
      <c r="Q241" t="s">
        <v>592</v>
      </c>
      <c r="R241">
        <v>2020</v>
      </c>
      <c r="S241" t="s">
        <v>146</v>
      </c>
      <c r="U241" t="s">
        <v>593</v>
      </c>
      <c r="V241" t="s">
        <v>594</v>
      </c>
      <c r="W241" t="s">
        <v>91</v>
      </c>
      <c r="X241" t="s">
        <v>126</v>
      </c>
      <c r="Y241" t="s">
        <v>434</v>
      </c>
      <c r="Z241" t="s">
        <v>435</v>
      </c>
      <c r="AA241" t="s">
        <v>607</v>
      </c>
      <c r="AB241" t="s">
        <v>608</v>
      </c>
      <c r="AC241" t="s">
        <v>609</v>
      </c>
      <c r="AD241" t="s">
        <v>132</v>
      </c>
      <c r="AE241" t="s">
        <v>133</v>
      </c>
      <c r="AF241" t="s">
        <v>100</v>
      </c>
      <c r="AG241" t="s">
        <v>102</v>
      </c>
      <c r="AH241" t="s">
        <v>102</v>
      </c>
      <c r="AI241" t="s">
        <v>134</v>
      </c>
      <c r="AJ241" t="s">
        <v>135</v>
      </c>
      <c r="AM241" t="s">
        <v>136</v>
      </c>
      <c r="AN241" t="s">
        <v>106</v>
      </c>
      <c r="AT241">
        <f>(4.77+4.905)/2</f>
        <v>4.8375000000000004</v>
      </c>
      <c r="AU241">
        <f>(0.0005003167+0.0006062333)/2</f>
        <v>5.5327499999999999E-4</v>
      </c>
      <c r="AV241">
        <v>7</v>
      </c>
      <c r="AW241" t="s">
        <v>108</v>
      </c>
      <c r="AX241">
        <v>28.7</v>
      </c>
      <c r="AY241" t="s">
        <v>103</v>
      </c>
      <c r="AZ241" t="s">
        <v>109</v>
      </c>
      <c r="BB241">
        <v>28.4</v>
      </c>
      <c r="BC241">
        <v>29.6</v>
      </c>
      <c r="BD241">
        <f t="shared" si="10"/>
        <v>0.15000000000000002</v>
      </c>
      <c r="BE241" t="s">
        <v>139</v>
      </c>
      <c r="BF241">
        <v>7</v>
      </c>
      <c r="BG241">
        <f>1/60</f>
        <v>1.6666666666666666E-2</v>
      </c>
      <c r="BM241">
        <v>6.6</v>
      </c>
      <c r="BN241">
        <v>33.799999999999997</v>
      </c>
      <c r="BO241">
        <v>8.1</v>
      </c>
      <c r="BU241" t="s">
        <v>611</v>
      </c>
      <c r="BV241">
        <v>34.656669999999998</v>
      </c>
      <c r="BW241">
        <v>1.681424</v>
      </c>
      <c r="BX241">
        <v>6</v>
      </c>
      <c r="BY241">
        <v>35.094999999999999</v>
      </c>
      <c r="BZ241">
        <v>1.3898309200000001</v>
      </c>
      <c r="CA241">
        <v>6</v>
      </c>
      <c r="CB241" t="s">
        <v>113</v>
      </c>
      <c r="CC241" t="s">
        <v>365</v>
      </c>
    </row>
    <row r="242" spans="1:81" x14ac:dyDescent="0.25">
      <c r="A242" t="s">
        <v>81</v>
      </c>
      <c r="B242">
        <v>241</v>
      </c>
      <c r="C242">
        <v>44</v>
      </c>
      <c r="D242">
        <v>42</v>
      </c>
      <c r="E242">
        <v>40</v>
      </c>
      <c r="F242">
        <v>42</v>
      </c>
      <c r="G242">
        <v>118</v>
      </c>
      <c r="H242">
        <v>173</v>
      </c>
      <c r="I242" t="s">
        <v>589</v>
      </c>
      <c r="J242" t="s">
        <v>83</v>
      </c>
      <c r="K242" s="3" t="s">
        <v>590</v>
      </c>
      <c r="M242" t="s">
        <v>85</v>
      </c>
      <c r="O242" t="s">
        <v>14</v>
      </c>
      <c r="P242" t="s">
        <v>591</v>
      </c>
      <c r="Q242" t="s">
        <v>592</v>
      </c>
      <c r="R242">
        <v>2020</v>
      </c>
      <c r="S242" t="s">
        <v>146</v>
      </c>
      <c r="U242" t="s">
        <v>593</v>
      </c>
      <c r="V242" t="s">
        <v>594</v>
      </c>
      <c r="W242" t="s">
        <v>91</v>
      </c>
      <c r="X242" t="s">
        <v>126</v>
      </c>
      <c r="Y242" t="s">
        <v>434</v>
      </c>
      <c r="Z242" t="s">
        <v>435</v>
      </c>
      <c r="AA242" t="s">
        <v>607</v>
      </c>
      <c r="AB242" t="s">
        <v>608</v>
      </c>
      <c r="AC242" t="s">
        <v>609</v>
      </c>
      <c r="AD242" t="s">
        <v>132</v>
      </c>
      <c r="AE242" t="s">
        <v>133</v>
      </c>
      <c r="AF242" t="s">
        <v>100</v>
      </c>
      <c r="AG242" t="s">
        <v>102</v>
      </c>
      <c r="AH242" t="s">
        <v>102</v>
      </c>
      <c r="AI242" t="s">
        <v>134</v>
      </c>
      <c r="AJ242" t="s">
        <v>135</v>
      </c>
      <c r="AM242" t="s">
        <v>136</v>
      </c>
      <c r="AN242" t="s">
        <v>106</v>
      </c>
      <c r="AT242">
        <f>(4.876667+5.0025)/2</f>
        <v>4.9395835000000003</v>
      </c>
      <c r="AU242">
        <f>(0.00043505+0.0005801333)/2</f>
        <v>5.0759164999999995E-4</v>
      </c>
      <c r="AV242">
        <v>7</v>
      </c>
      <c r="AW242" t="s">
        <v>108</v>
      </c>
      <c r="AX242">
        <v>28.7</v>
      </c>
      <c r="AY242" t="s">
        <v>103</v>
      </c>
      <c r="AZ242" t="s">
        <v>109</v>
      </c>
      <c r="BB242">
        <v>28.4</v>
      </c>
      <c r="BC242">
        <v>29.6</v>
      </c>
      <c r="BD242">
        <f t="shared" si="10"/>
        <v>0.15000000000000002</v>
      </c>
      <c r="BE242" t="s">
        <v>139</v>
      </c>
      <c r="BF242">
        <v>7</v>
      </c>
      <c r="BG242">
        <f>5.04/60</f>
        <v>8.4000000000000005E-2</v>
      </c>
      <c r="BM242">
        <v>6.6</v>
      </c>
      <c r="BN242">
        <v>33.799999999999997</v>
      </c>
      <c r="BO242">
        <v>8.1</v>
      </c>
      <c r="BU242" t="s">
        <v>612</v>
      </c>
      <c r="BV242">
        <v>37.321669999999997</v>
      </c>
      <c r="BW242">
        <v>1.99979416</v>
      </c>
      <c r="BX242">
        <v>6</v>
      </c>
      <c r="BY242">
        <v>37.384999999999998</v>
      </c>
      <c r="BZ242">
        <v>0.93880242999999997</v>
      </c>
      <c r="CA242">
        <v>6</v>
      </c>
      <c r="CB242" t="s">
        <v>113</v>
      </c>
      <c r="CC242" t="s">
        <v>365</v>
      </c>
    </row>
    <row r="243" spans="1:81" x14ac:dyDescent="0.25">
      <c r="A243" t="s">
        <v>81</v>
      </c>
      <c r="B243">
        <v>242</v>
      </c>
      <c r="C243">
        <v>44</v>
      </c>
      <c r="D243">
        <v>42</v>
      </c>
      <c r="E243">
        <v>40</v>
      </c>
      <c r="F243">
        <v>42</v>
      </c>
      <c r="G243">
        <v>119</v>
      </c>
      <c r="H243">
        <v>174</v>
      </c>
      <c r="I243" t="s">
        <v>589</v>
      </c>
      <c r="J243" t="s">
        <v>83</v>
      </c>
      <c r="K243" s="3" t="s">
        <v>590</v>
      </c>
      <c r="M243" t="s">
        <v>85</v>
      </c>
      <c r="O243" t="s">
        <v>14</v>
      </c>
      <c r="P243" t="s">
        <v>591</v>
      </c>
      <c r="Q243" t="s">
        <v>592</v>
      </c>
      <c r="R243">
        <v>2020</v>
      </c>
      <c r="S243" t="s">
        <v>146</v>
      </c>
      <c r="U243" t="s">
        <v>593</v>
      </c>
      <c r="V243" t="s">
        <v>594</v>
      </c>
      <c r="W243" t="s">
        <v>91</v>
      </c>
      <c r="X243" t="s">
        <v>126</v>
      </c>
      <c r="Y243" t="s">
        <v>434</v>
      </c>
      <c r="Z243" t="s">
        <v>435</v>
      </c>
      <c r="AA243" t="s">
        <v>607</v>
      </c>
      <c r="AB243" t="s">
        <v>608</v>
      </c>
      <c r="AC243" t="s">
        <v>609</v>
      </c>
      <c r="AD243" t="s">
        <v>132</v>
      </c>
      <c r="AE243" t="s">
        <v>133</v>
      </c>
      <c r="AF243" t="s">
        <v>100</v>
      </c>
      <c r="AG243" t="s">
        <v>102</v>
      </c>
      <c r="AH243" t="s">
        <v>102</v>
      </c>
      <c r="AI243" t="s">
        <v>134</v>
      </c>
      <c r="AJ243" t="s">
        <v>135</v>
      </c>
      <c r="AM243" t="s">
        <v>136</v>
      </c>
      <c r="AN243" t="s">
        <v>106</v>
      </c>
      <c r="AT243">
        <f>(6.123333+6.39)/2</f>
        <v>6.2566664999999997</v>
      </c>
      <c r="AU243">
        <f>(0.001713333+0.002006667)/2</f>
        <v>1.8600000000000001E-3</v>
      </c>
      <c r="AV243">
        <v>14</v>
      </c>
      <c r="AW243" t="s">
        <v>108</v>
      </c>
      <c r="AX243">
        <v>28.7</v>
      </c>
      <c r="AY243" t="s">
        <v>103</v>
      </c>
      <c r="AZ243" t="s">
        <v>109</v>
      </c>
      <c r="BB243">
        <v>28.4</v>
      </c>
      <c r="BC243">
        <v>29.6</v>
      </c>
      <c r="BD243">
        <f t="shared" si="10"/>
        <v>0.15000000000000002</v>
      </c>
      <c r="BE243" t="s">
        <v>139</v>
      </c>
      <c r="BF243">
        <v>14</v>
      </c>
      <c r="BG243">
        <f>0.49/60</f>
        <v>8.1666666666666658E-3</v>
      </c>
      <c r="BM243">
        <v>6.6</v>
      </c>
      <c r="BN243">
        <v>33.799999999999997</v>
      </c>
      <c r="BO243">
        <v>8.1</v>
      </c>
      <c r="BU243" t="s">
        <v>613</v>
      </c>
      <c r="BV243">
        <v>35.778329999999997</v>
      </c>
      <c r="BW243">
        <v>0.70799482000000002</v>
      </c>
      <c r="BX243">
        <v>6</v>
      </c>
      <c r="BY243">
        <v>36.206670000000003</v>
      </c>
      <c r="BZ243">
        <v>0.21574677</v>
      </c>
      <c r="CA243">
        <v>6</v>
      </c>
      <c r="CB243" t="s">
        <v>113</v>
      </c>
      <c r="CC243" t="s">
        <v>365</v>
      </c>
    </row>
    <row r="244" spans="1:81" x14ac:dyDescent="0.25">
      <c r="A244" t="s">
        <v>81</v>
      </c>
      <c r="B244">
        <v>243</v>
      </c>
      <c r="C244">
        <v>44</v>
      </c>
      <c r="D244">
        <v>42</v>
      </c>
      <c r="E244">
        <v>40</v>
      </c>
      <c r="F244">
        <v>42</v>
      </c>
      <c r="G244">
        <v>120</v>
      </c>
      <c r="H244">
        <v>175</v>
      </c>
      <c r="I244" t="s">
        <v>589</v>
      </c>
      <c r="J244" t="s">
        <v>83</v>
      </c>
      <c r="K244" s="3" t="s">
        <v>590</v>
      </c>
      <c r="M244" t="s">
        <v>85</v>
      </c>
      <c r="O244" t="s">
        <v>14</v>
      </c>
      <c r="P244" t="s">
        <v>591</v>
      </c>
      <c r="Q244" t="s">
        <v>592</v>
      </c>
      <c r="R244">
        <v>2020</v>
      </c>
      <c r="S244" t="s">
        <v>146</v>
      </c>
      <c r="U244" t="s">
        <v>593</v>
      </c>
      <c r="V244" t="s">
        <v>594</v>
      </c>
      <c r="W244" t="s">
        <v>91</v>
      </c>
      <c r="X244" t="s">
        <v>126</v>
      </c>
      <c r="Y244" t="s">
        <v>434</v>
      </c>
      <c r="Z244" t="s">
        <v>435</v>
      </c>
      <c r="AA244" t="s">
        <v>607</v>
      </c>
      <c r="AB244" t="s">
        <v>608</v>
      </c>
      <c r="AC244" t="s">
        <v>609</v>
      </c>
      <c r="AD244" t="s">
        <v>132</v>
      </c>
      <c r="AE244" t="s">
        <v>133</v>
      </c>
      <c r="AF244" t="s">
        <v>100</v>
      </c>
      <c r="AG244" t="s">
        <v>102</v>
      </c>
      <c r="AH244" t="s">
        <v>102</v>
      </c>
      <c r="AI244" t="s">
        <v>134</v>
      </c>
      <c r="AJ244" t="s">
        <v>135</v>
      </c>
      <c r="AM244" t="s">
        <v>136</v>
      </c>
      <c r="AN244" t="s">
        <v>106</v>
      </c>
      <c r="AT244">
        <f>(5.941667+6.062)/2</f>
        <v>6.0018335</v>
      </c>
      <c r="AU244">
        <f>(0.00159+0.001506)/2</f>
        <v>1.5479999999999999E-3</v>
      </c>
      <c r="AV244">
        <v>14</v>
      </c>
      <c r="AW244" t="s">
        <v>108</v>
      </c>
      <c r="AX244">
        <v>28.7</v>
      </c>
      <c r="AY244" t="s">
        <v>103</v>
      </c>
      <c r="AZ244" t="s">
        <v>109</v>
      </c>
      <c r="BB244">
        <v>28.4</v>
      </c>
      <c r="BC244">
        <v>29.6</v>
      </c>
      <c r="BD244">
        <f t="shared" si="10"/>
        <v>0.15000000000000002</v>
      </c>
      <c r="BE244" t="s">
        <v>139</v>
      </c>
      <c r="BF244">
        <v>14</v>
      </c>
      <c r="BG244">
        <f>1/60</f>
        <v>1.6666666666666666E-2</v>
      </c>
      <c r="BM244">
        <v>6.6</v>
      </c>
      <c r="BN244">
        <v>33.799999999999997</v>
      </c>
      <c r="BO244">
        <v>8.1</v>
      </c>
      <c r="BU244" t="s">
        <v>614</v>
      </c>
      <c r="BV244">
        <v>36.185000000000002</v>
      </c>
      <c r="BW244">
        <v>0.39581560999999998</v>
      </c>
      <c r="BX244">
        <v>6</v>
      </c>
      <c r="BY244">
        <v>35.988</v>
      </c>
      <c r="BZ244">
        <v>0.47678087000000002</v>
      </c>
      <c r="CA244">
        <v>5</v>
      </c>
      <c r="CB244" t="s">
        <v>113</v>
      </c>
      <c r="CC244" t="s">
        <v>365</v>
      </c>
    </row>
    <row r="245" spans="1:81" x14ac:dyDescent="0.25">
      <c r="A245" t="s">
        <v>81</v>
      </c>
      <c r="B245">
        <v>244</v>
      </c>
      <c r="C245">
        <v>44</v>
      </c>
      <c r="D245">
        <v>42</v>
      </c>
      <c r="E245">
        <v>40</v>
      </c>
      <c r="F245">
        <v>42</v>
      </c>
      <c r="G245">
        <v>121</v>
      </c>
      <c r="H245">
        <v>176</v>
      </c>
      <c r="I245" t="s">
        <v>589</v>
      </c>
      <c r="J245" t="s">
        <v>83</v>
      </c>
      <c r="K245" s="3" t="s">
        <v>590</v>
      </c>
      <c r="M245" t="s">
        <v>85</v>
      </c>
      <c r="O245" t="s">
        <v>14</v>
      </c>
      <c r="P245" t="s">
        <v>591</v>
      </c>
      <c r="Q245" t="s">
        <v>592</v>
      </c>
      <c r="R245">
        <v>2020</v>
      </c>
      <c r="S245" t="s">
        <v>146</v>
      </c>
      <c r="U245" t="s">
        <v>593</v>
      </c>
      <c r="V245" t="s">
        <v>594</v>
      </c>
      <c r="W245" t="s">
        <v>91</v>
      </c>
      <c r="X245" t="s">
        <v>126</v>
      </c>
      <c r="Y245" t="s">
        <v>434</v>
      </c>
      <c r="Z245" t="s">
        <v>435</v>
      </c>
      <c r="AA245" t="s">
        <v>607</v>
      </c>
      <c r="AB245" t="s">
        <v>608</v>
      </c>
      <c r="AC245" t="s">
        <v>609</v>
      </c>
      <c r="AD245" t="s">
        <v>132</v>
      </c>
      <c r="AE245" t="s">
        <v>133</v>
      </c>
      <c r="AF245" t="s">
        <v>100</v>
      </c>
      <c r="AG245" t="s">
        <v>102</v>
      </c>
      <c r="AH245" t="s">
        <v>102</v>
      </c>
      <c r="AI245" t="s">
        <v>134</v>
      </c>
      <c r="AJ245" t="s">
        <v>135</v>
      </c>
      <c r="AM245" t="s">
        <v>136</v>
      </c>
      <c r="AN245" t="s">
        <v>106</v>
      </c>
      <c r="AT245">
        <f>(5.91+5.845)/2</f>
        <v>5.8774999999999995</v>
      </c>
      <c r="AU245">
        <f>(0.001746667+0.001823333)/2</f>
        <v>1.7849999999999999E-3</v>
      </c>
      <c r="AV245">
        <v>14</v>
      </c>
      <c r="AW245" t="s">
        <v>108</v>
      </c>
      <c r="AX245">
        <v>28.7</v>
      </c>
      <c r="AY245" t="s">
        <v>103</v>
      </c>
      <c r="AZ245" t="s">
        <v>109</v>
      </c>
      <c r="BB245">
        <v>28.4</v>
      </c>
      <c r="BC245">
        <v>29.6</v>
      </c>
      <c r="BD245">
        <f t="shared" si="10"/>
        <v>0.15000000000000002</v>
      </c>
      <c r="BE245" t="s">
        <v>139</v>
      </c>
      <c r="BF245">
        <v>14</v>
      </c>
      <c r="BG245">
        <f>5.04/60</f>
        <v>8.4000000000000005E-2</v>
      </c>
      <c r="BM245">
        <v>6.6</v>
      </c>
      <c r="BN245">
        <v>33.799999999999997</v>
      </c>
      <c r="BO245">
        <v>8.1</v>
      </c>
      <c r="BU245" t="s">
        <v>615</v>
      </c>
      <c r="BV245">
        <v>37.063330000000001</v>
      </c>
      <c r="BW245">
        <v>1.0311482300000001</v>
      </c>
      <c r="BX245">
        <v>6</v>
      </c>
      <c r="BY245">
        <v>37.844999999999999</v>
      </c>
      <c r="BZ245">
        <v>0.125499</v>
      </c>
      <c r="CA245">
        <v>6</v>
      </c>
      <c r="CB245" t="s">
        <v>113</v>
      </c>
      <c r="CC245" t="s">
        <v>365</v>
      </c>
    </row>
    <row r="246" spans="1:81" x14ac:dyDescent="0.25">
      <c r="A246" t="s">
        <v>81</v>
      </c>
      <c r="B246">
        <v>245</v>
      </c>
      <c r="C246">
        <v>44</v>
      </c>
      <c r="D246">
        <v>42</v>
      </c>
      <c r="E246">
        <v>40</v>
      </c>
      <c r="F246">
        <v>42</v>
      </c>
      <c r="G246">
        <v>122</v>
      </c>
      <c r="H246">
        <v>177</v>
      </c>
      <c r="I246" t="s">
        <v>589</v>
      </c>
      <c r="J246" t="s">
        <v>83</v>
      </c>
      <c r="K246" s="3" t="s">
        <v>590</v>
      </c>
      <c r="M246" t="s">
        <v>85</v>
      </c>
      <c r="O246" t="s">
        <v>14</v>
      </c>
      <c r="P246" t="s">
        <v>591</v>
      </c>
      <c r="Q246" t="s">
        <v>592</v>
      </c>
      <c r="R246">
        <v>2020</v>
      </c>
      <c r="S246" t="s">
        <v>146</v>
      </c>
      <c r="U246" t="s">
        <v>593</v>
      </c>
      <c r="V246" t="s">
        <v>594</v>
      </c>
      <c r="W246" t="s">
        <v>91</v>
      </c>
      <c r="X246" t="s">
        <v>126</v>
      </c>
      <c r="Y246" t="s">
        <v>434</v>
      </c>
      <c r="Z246" t="s">
        <v>435</v>
      </c>
      <c r="AA246" t="s">
        <v>607</v>
      </c>
      <c r="AB246" t="s">
        <v>608</v>
      </c>
      <c r="AC246" t="s">
        <v>609</v>
      </c>
      <c r="AD246" t="s">
        <v>132</v>
      </c>
      <c r="AE246" t="s">
        <v>133</v>
      </c>
      <c r="AF246" t="s">
        <v>100</v>
      </c>
      <c r="AG246" t="s">
        <v>102</v>
      </c>
      <c r="AH246" t="s">
        <v>102</v>
      </c>
      <c r="AI246" t="s">
        <v>134</v>
      </c>
      <c r="AJ246" t="s">
        <v>135</v>
      </c>
      <c r="AM246" t="s">
        <v>136</v>
      </c>
      <c r="AN246" t="s">
        <v>106</v>
      </c>
      <c r="AT246">
        <f>(6.45+6.75)/2</f>
        <v>6.6</v>
      </c>
      <c r="AU246">
        <f>(0.002903333+0.003321667)/2</f>
        <v>3.1124999999999998E-3</v>
      </c>
      <c r="AV246">
        <v>21</v>
      </c>
      <c r="AW246" t="s">
        <v>108</v>
      </c>
      <c r="AX246">
        <v>28.7</v>
      </c>
      <c r="AY246" t="s">
        <v>103</v>
      </c>
      <c r="AZ246" t="s">
        <v>109</v>
      </c>
      <c r="BB246">
        <v>28.4</v>
      </c>
      <c r="BC246">
        <v>29.6</v>
      </c>
      <c r="BD246">
        <f t="shared" si="10"/>
        <v>0.15000000000000002</v>
      </c>
      <c r="BE246" t="s">
        <v>139</v>
      </c>
      <c r="BF246">
        <v>21</v>
      </c>
      <c r="BG246">
        <f>0.49/60</f>
        <v>8.1666666666666658E-3</v>
      </c>
      <c r="BM246">
        <v>6.6</v>
      </c>
      <c r="BN246">
        <v>33.799999999999997</v>
      </c>
      <c r="BO246">
        <v>8.1</v>
      </c>
      <c r="BU246" t="s">
        <v>616</v>
      </c>
      <c r="BV246">
        <v>35.958329999999997</v>
      </c>
      <c r="BW246">
        <v>0.48721315999999998</v>
      </c>
      <c r="BX246">
        <v>6</v>
      </c>
      <c r="BY246">
        <v>36.233330000000002</v>
      </c>
      <c r="BZ246">
        <v>0.15095253</v>
      </c>
      <c r="CA246">
        <v>6</v>
      </c>
      <c r="CB246" t="s">
        <v>113</v>
      </c>
      <c r="CC246" t="s">
        <v>365</v>
      </c>
    </row>
    <row r="247" spans="1:81" x14ac:dyDescent="0.25">
      <c r="A247" t="s">
        <v>81</v>
      </c>
      <c r="B247">
        <v>246</v>
      </c>
      <c r="C247">
        <v>44</v>
      </c>
      <c r="D247">
        <v>42</v>
      </c>
      <c r="E247">
        <v>40</v>
      </c>
      <c r="F247">
        <v>42</v>
      </c>
      <c r="G247">
        <v>123</v>
      </c>
      <c r="H247">
        <v>178</v>
      </c>
      <c r="I247" t="s">
        <v>589</v>
      </c>
      <c r="J247" t="s">
        <v>83</v>
      </c>
      <c r="K247" s="3" t="s">
        <v>590</v>
      </c>
      <c r="M247" t="s">
        <v>85</v>
      </c>
      <c r="O247" t="s">
        <v>14</v>
      </c>
      <c r="P247" t="s">
        <v>591</v>
      </c>
      <c r="Q247" t="s">
        <v>592</v>
      </c>
      <c r="R247">
        <v>2020</v>
      </c>
      <c r="S247" t="s">
        <v>146</v>
      </c>
      <c r="U247" t="s">
        <v>593</v>
      </c>
      <c r="V247" t="s">
        <v>594</v>
      </c>
      <c r="W247" t="s">
        <v>91</v>
      </c>
      <c r="X247" t="s">
        <v>126</v>
      </c>
      <c r="Y247" t="s">
        <v>434</v>
      </c>
      <c r="Z247" t="s">
        <v>435</v>
      </c>
      <c r="AA247" t="s">
        <v>607</v>
      </c>
      <c r="AB247" t="s">
        <v>608</v>
      </c>
      <c r="AC247" t="s">
        <v>609</v>
      </c>
      <c r="AD247" t="s">
        <v>132</v>
      </c>
      <c r="AE247" t="s">
        <v>133</v>
      </c>
      <c r="AF247" t="s">
        <v>100</v>
      </c>
      <c r="AG247" t="s">
        <v>102</v>
      </c>
      <c r="AH247" t="s">
        <v>102</v>
      </c>
      <c r="AI247" t="s">
        <v>134</v>
      </c>
      <c r="AJ247" t="s">
        <v>135</v>
      </c>
      <c r="AM247" t="s">
        <v>136</v>
      </c>
      <c r="AN247" t="s">
        <v>106</v>
      </c>
      <c r="AT247">
        <f>(6.283333+6.6)/2</f>
        <v>6.4416665000000002</v>
      </c>
      <c r="AU247">
        <f>(0.003396667+0.003398333)/2</f>
        <v>3.3974999999999999E-3</v>
      </c>
      <c r="AV247">
        <v>21</v>
      </c>
      <c r="AW247" t="s">
        <v>108</v>
      </c>
      <c r="AX247">
        <v>28.7</v>
      </c>
      <c r="AY247" t="s">
        <v>103</v>
      </c>
      <c r="AZ247" t="s">
        <v>109</v>
      </c>
      <c r="BB247">
        <v>28.4</v>
      </c>
      <c r="BC247">
        <v>29.6</v>
      </c>
      <c r="BD247">
        <f t="shared" si="10"/>
        <v>0.15000000000000002</v>
      </c>
      <c r="BE247" t="s">
        <v>139</v>
      </c>
      <c r="BF247">
        <v>21</v>
      </c>
      <c r="BG247">
        <f>1/60</f>
        <v>1.6666666666666666E-2</v>
      </c>
      <c r="BM247">
        <v>6.6</v>
      </c>
      <c r="BN247">
        <v>33.799999999999997</v>
      </c>
      <c r="BO247">
        <v>8.1</v>
      </c>
      <c r="BU247" t="s">
        <v>617</v>
      </c>
      <c r="BV247">
        <v>36.366669999999999</v>
      </c>
      <c r="BW247">
        <v>0.37712951</v>
      </c>
      <c r="BX247">
        <v>6</v>
      </c>
      <c r="BY247">
        <v>36.238329999999998</v>
      </c>
      <c r="BZ247">
        <v>0.61528583999999997</v>
      </c>
      <c r="CA247">
        <v>6</v>
      </c>
      <c r="CB247" t="s">
        <v>113</v>
      </c>
      <c r="CC247" t="s">
        <v>365</v>
      </c>
    </row>
    <row r="248" spans="1:81" x14ac:dyDescent="0.25">
      <c r="A248" t="s">
        <v>81</v>
      </c>
      <c r="B248">
        <v>247</v>
      </c>
      <c r="C248">
        <v>44</v>
      </c>
      <c r="D248">
        <v>42</v>
      </c>
      <c r="E248">
        <v>40</v>
      </c>
      <c r="F248">
        <v>42</v>
      </c>
      <c r="G248">
        <v>124</v>
      </c>
      <c r="H248">
        <v>179</v>
      </c>
      <c r="I248" t="s">
        <v>589</v>
      </c>
      <c r="J248" t="s">
        <v>83</v>
      </c>
      <c r="K248" s="3" t="s">
        <v>590</v>
      </c>
      <c r="M248" t="s">
        <v>85</v>
      </c>
      <c r="O248" t="s">
        <v>14</v>
      </c>
      <c r="P248" t="s">
        <v>591</v>
      </c>
      <c r="Q248" t="s">
        <v>592</v>
      </c>
      <c r="R248">
        <v>2020</v>
      </c>
      <c r="S248" t="s">
        <v>146</v>
      </c>
      <c r="U248" t="s">
        <v>593</v>
      </c>
      <c r="V248" t="s">
        <v>594</v>
      </c>
      <c r="W248" t="s">
        <v>91</v>
      </c>
      <c r="X248" t="s">
        <v>126</v>
      </c>
      <c r="Y248" t="s">
        <v>434</v>
      </c>
      <c r="Z248" t="s">
        <v>435</v>
      </c>
      <c r="AA248" t="s">
        <v>607</v>
      </c>
      <c r="AB248" t="s">
        <v>608</v>
      </c>
      <c r="AC248" t="s">
        <v>609</v>
      </c>
      <c r="AD248" t="s">
        <v>132</v>
      </c>
      <c r="AE248" t="s">
        <v>133</v>
      </c>
      <c r="AF248" t="s">
        <v>100</v>
      </c>
      <c r="AG248" t="s">
        <v>102</v>
      </c>
      <c r="AH248" t="s">
        <v>102</v>
      </c>
      <c r="AI248" t="s">
        <v>134</v>
      </c>
      <c r="AJ248" t="s">
        <v>135</v>
      </c>
      <c r="AM248" t="s">
        <v>136</v>
      </c>
      <c r="AN248" t="s">
        <v>106</v>
      </c>
      <c r="AU248">
        <f>(0.00385+0.003383333)/2</f>
        <v>3.6166664999999999E-3</v>
      </c>
      <c r="AV248">
        <v>21</v>
      </c>
      <c r="AW248" t="s">
        <v>108</v>
      </c>
      <c r="AX248">
        <v>28.7</v>
      </c>
      <c r="AY248" t="s">
        <v>103</v>
      </c>
      <c r="AZ248" t="s">
        <v>109</v>
      </c>
      <c r="BB248">
        <v>28.4</v>
      </c>
      <c r="BC248">
        <v>29.6</v>
      </c>
      <c r="BD248">
        <f t="shared" si="10"/>
        <v>0.15000000000000002</v>
      </c>
      <c r="BE248" t="s">
        <v>139</v>
      </c>
      <c r="BF248">
        <v>21</v>
      </c>
      <c r="BG248">
        <f>5.04/60</f>
        <v>8.4000000000000005E-2</v>
      </c>
      <c r="BM248">
        <v>6.6</v>
      </c>
      <c r="BN248">
        <v>33.799999999999997</v>
      </c>
      <c r="BO248">
        <v>8.1</v>
      </c>
      <c r="BU248" t="s">
        <v>618</v>
      </c>
      <c r="BV248">
        <v>37.766669999999998</v>
      </c>
      <c r="BW248">
        <v>0.15794514000000001</v>
      </c>
      <c r="BX248">
        <v>6</v>
      </c>
      <c r="BY248">
        <v>37.805</v>
      </c>
      <c r="BZ248">
        <v>8.7349869999999996E-2</v>
      </c>
      <c r="CA248">
        <v>6</v>
      </c>
      <c r="CB248" t="s">
        <v>113</v>
      </c>
      <c r="CC248" t="s">
        <v>365</v>
      </c>
    </row>
    <row r="249" spans="1:81" x14ac:dyDescent="0.25">
      <c r="A249" t="s">
        <v>81</v>
      </c>
      <c r="B249">
        <v>248</v>
      </c>
      <c r="C249">
        <v>44</v>
      </c>
      <c r="D249">
        <v>43</v>
      </c>
      <c r="E249">
        <v>41</v>
      </c>
      <c r="F249">
        <v>43</v>
      </c>
      <c r="G249">
        <v>125</v>
      </c>
      <c r="H249">
        <v>180</v>
      </c>
      <c r="I249" t="s">
        <v>589</v>
      </c>
      <c r="J249" t="s">
        <v>83</v>
      </c>
      <c r="K249" s="3" t="s">
        <v>590</v>
      </c>
      <c r="M249" t="s">
        <v>85</v>
      </c>
      <c r="O249" t="s">
        <v>14</v>
      </c>
      <c r="P249" t="s">
        <v>591</v>
      </c>
      <c r="Q249" t="s">
        <v>592</v>
      </c>
      <c r="R249">
        <v>2020</v>
      </c>
      <c r="S249" t="s">
        <v>146</v>
      </c>
      <c r="U249" t="s">
        <v>593</v>
      </c>
      <c r="V249" t="s">
        <v>594</v>
      </c>
      <c r="W249" t="s">
        <v>91</v>
      </c>
      <c r="X249" t="s">
        <v>126</v>
      </c>
      <c r="Y249" t="s">
        <v>434</v>
      </c>
      <c r="Z249" t="s">
        <v>619</v>
      </c>
      <c r="AA249" t="s">
        <v>620</v>
      </c>
      <c r="AB249" t="s">
        <v>621</v>
      </c>
      <c r="AC249" t="s">
        <v>622</v>
      </c>
      <c r="AD249" t="s">
        <v>132</v>
      </c>
      <c r="AE249" t="s">
        <v>133</v>
      </c>
      <c r="AF249" t="s">
        <v>100</v>
      </c>
      <c r="AG249" t="s">
        <v>102</v>
      </c>
      <c r="AH249" t="s">
        <v>102</v>
      </c>
      <c r="AI249" t="s">
        <v>134</v>
      </c>
      <c r="AJ249" t="s">
        <v>135</v>
      </c>
      <c r="AM249" t="s">
        <v>136</v>
      </c>
      <c r="AN249" t="s">
        <v>106</v>
      </c>
      <c r="AU249">
        <f>(0.00003683333+0.00005216667)/2</f>
        <v>4.4499999999999997E-5</v>
      </c>
      <c r="AV249">
        <v>7</v>
      </c>
      <c r="AW249" t="s">
        <v>108</v>
      </c>
      <c r="AX249">
        <v>29.8</v>
      </c>
      <c r="AY249" t="s">
        <v>103</v>
      </c>
      <c r="AZ249" t="s">
        <v>109</v>
      </c>
      <c r="BB249">
        <v>28.4</v>
      </c>
      <c r="BC249">
        <v>29.3</v>
      </c>
      <c r="BD249">
        <f t="shared" ref="BD249:BD257" si="11">(0.2+0.2)/2</f>
        <v>0.2</v>
      </c>
      <c r="BE249" t="s">
        <v>139</v>
      </c>
      <c r="BF249">
        <v>4</v>
      </c>
      <c r="BG249">
        <f>0.49/60</f>
        <v>8.1666666666666658E-3</v>
      </c>
      <c r="BM249">
        <v>7</v>
      </c>
      <c r="BN249">
        <v>31.6</v>
      </c>
      <c r="BO249">
        <v>8</v>
      </c>
      <c r="BU249" t="s">
        <v>623</v>
      </c>
      <c r="BV249">
        <v>36.686669999999999</v>
      </c>
      <c r="BW249">
        <v>0.57147762000000002</v>
      </c>
      <c r="BX249">
        <v>6</v>
      </c>
      <c r="BY249">
        <v>38.133330000000001</v>
      </c>
      <c r="BZ249">
        <v>1.1174375400000001</v>
      </c>
      <c r="CA249">
        <v>6</v>
      </c>
      <c r="CB249" t="s">
        <v>113</v>
      </c>
      <c r="CC249" t="s">
        <v>365</v>
      </c>
    </row>
    <row r="250" spans="1:81" x14ac:dyDescent="0.25">
      <c r="A250" t="s">
        <v>81</v>
      </c>
      <c r="B250">
        <v>249</v>
      </c>
      <c r="C250">
        <v>44</v>
      </c>
      <c r="D250">
        <v>43</v>
      </c>
      <c r="E250">
        <v>41</v>
      </c>
      <c r="F250">
        <v>43</v>
      </c>
      <c r="G250">
        <v>126</v>
      </c>
      <c r="H250">
        <v>181</v>
      </c>
      <c r="I250" t="s">
        <v>589</v>
      </c>
      <c r="J250" t="s">
        <v>83</v>
      </c>
      <c r="K250" s="3" t="s">
        <v>590</v>
      </c>
      <c r="M250" t="s">
        <v>85</v>
      </c>
      <c r="O250" t="s">
        <v>14</v>
      </c>
      <c r="P250" t="s">
        <v>591</v>
      </c>
      <c r="Q250" t="s">
        <v>592</v>
      </c>
      <c r="R250">
        <v>2020</v>
      </c>
      <c r="S250" t="s">
        <v>146</v>
      </c>
      <c r="U250" t="s">
        <v>593</v>
      </c>
      <c r="V250" t="s">
        <v>594</v>
      </c>
      <c r="W250" t="s">
        <v>91</v>
      </c>
      <c r="X250" t="s">
        <v>126</v>
      </c>
      <c r="Y250" t="s">
        <v>434</v>
      </c>
      <c r="Z250" t="s">
        <v>619</v>
      </c>
      <c r="AA250" t="s">
        <v>620</v>
      </c>
      <c r="AB250" t="s">
        <v>621</v>
      </c>
      <c r="AC250" t="s">
        <v>622</v>
      </c>
      <c r="AD250" t="s">
        <v>132</v>
      </c>
      <c r="AE250" t="s">
        <v>133</v>
      </c>
      <c r="AF250" t="s">
        <v>100</v>
      </c>
      <c r="AG250" t="s">
        <v>102</v>
      </c>
      <c r="AH250" t="s">
        <v>102</v>
      </c>
      <c r="AI250" t="s">
        <v>134</v>
      </c>
      <c r="AJ250" t="s">
        <v>135</v>
      </c>
      <c r="AM250" t="s">
        <v>136</v>
      </c>
      <c r="AN250" t="s">
        <v>106</v>
      </c>
      <c r="AU250">
        <f>(0.0000434+0.00005016667)/2</f>
        <v>4.6783334999999999E-5</v>
      </c>
      <c r="AV250">
        <v>7</v>
      </c>
      <c r="AW250" t="s">
        <v>108</v>
      </c>
      <c r="AX250">
        <v>29.8</v>
      </c>
      <c r="AY250" t="s">
        <v>103</v>
      </c>
      <c r="AZ250" t="s">
        <v>109</v>
      </c>
      <c r="BB250">
        <v>28.4</v>
      </c>
      <c r="BC250">
        <v>29.3</v>
      </c>
      <c r="BD250">
        <f t="shared" si="11"/>
        <v>0.2</v>
      </c>
      <c r="BE250" t="s">
        <v>139</v>
      </c>
      <c r="BF250">
        <v>4</v>
      </c>
      <c r="BG250">
        <f>1/60</f>
        <v>1.6666666666666666E-2</v>
      </c>
      <c r="BM250">
        <v>7</v>
      </c>
      <c r="BN250">
        <v>31.6</v>
      </c>
      <c r="BO250">
        <v>8</v>
      </c>
      <c r="BU250" t="s">
        <v>624</v>
      </c>
      <c r="BV250">
        <v>38.042000000000002</v>
      </c>
      <c r="BW250">
        <v>1.00377786</v>
      </c>
      <c r="BX250">
        <v>5</v>
      </c>
      <c r="BY250">
        <v>38.641669999999998</v>
      </c>
      <c r="BZ250">
        <v>0.80509419999999998</v>
      </c>
      <c r="CA250">
        <v>6</v>
      </c>
      <c r="CB250" t="s">
        <v>113</v>
      </c>
      <c r="CC250" t="s">
        <v>365</v>
      </c>
    </row>
    <row r="251" spans="1:81" x14ac:dyDescent="0.25">
      <c r="A251" t="s">
        <v>81</v>
      </c>
      <c r="B251">
        <v>250</v>
      </c>
      <c r="C251">
        <v>44</v>
      </c>
      <c r="D251">
        <v>43</v>
      </c>
      <c r="E251">
        <v>41</v>
      </c>
      <c r="F251">
        <v>43</v>
      </c>
      <c r="G251">
        <v>127</v>
      </c>
      <c r="H251">
        <v>182</v>
      </c>
      <c r="I251" t="s">
        <v>589</v>
      </c>
      <c r="J251" t="s">
        <v>83</v>
      </c>
      <c r="K251" s="3" t="s">
        <v>590</v>
      </c>
      <c r="M251" t="s">
        <v>85</v>
      </c>
      <c r="O251" t="s">
        <v>14</v>
      </c>
      <c r="P251" t="s">
        <v>591</v>
      </c>
      <c r="Q251" t="s">
        <v>592</v>
      </c>
      <c r="R251">
        <v>2020</v>
      </c>
      <c r="S251" t="s">
        <v>146</v>
      </c>
      <c r="U251" t="s">
        <v>593</v>
      </c>
      <c r="V251" t="s">
        <v>594</v>
      </c>
      <c r="W251" t="s">
        <v>91</v>
      </c>
      <c r="X251" t="s">
        <v>126</v>
      </c>
      <c r="Y251" t="s">
        <v>434</v>
      </c>
      <c r="Z251" t="s">
        <v>619</v>
      </c>
      <c r="AA251" t="s">
        <v>620</v>
      </c>
      <c r="AB251" t="s">
        <v>621</v>
      </c>
      <c r="AC251" t="s">
        <v>622</v>
      </c>
      <c r="AD251" t="s">
        <v>132</v>
      </c>
      <c r="AE251" t="s">
        <v>133</v>
      </c>
      <c r="AF251" t="s">
        <v>100</v>
      </c>
      <c r="AG251" t="s">
        <v>102</v>
      </c>
      <c r="AH251" t="s">
        <v>102</v>
      </c>
      <c r="AI251" t="s">
        <v>134</v>
      </c>
      <c r="AJ251" t="s">
        <v>135</v>
      </c>
      <c r="AM251" t="s">
        <v>136</v>
      </c>
      <c r="AN251" t="s">
        <v>106</v>
      </c>
      <c r="AU251">
        <f>(0.000036+0.00003833333)/2</f>
        <v>3.7166665000000002E-5</v>
      </c>
      <c r="AV251">
        <v>7</v>
      </c>
      <c r="AW251" t="s">
        <v>108</v>
      </c>
      <c r="AX251">
        <v>29.8</v>
      </c>
      <c r="AY251" t="s">
        <v>103</v>
      </c>
      <c r="AZ251" t="s">
        <v>109</v>
      </c>
      <c r="BB251">
        <v>28.4</v>
      </c>
      <c r="BC251">
        <v>29.3</v>
      </c>
      <c r="BD251">
        <f t="shared" si="11"/>
        <v>0.2</v>
      </c>
      <c r="BE251" t="s">
        <v>139</v>
      </c>
      <c r="BF251">
        <v>4</v>
      </c>
      <c r="BG251">
        <f>5.04/60</f>
        <v>8.4000000000000005E-2</v>
      </c>
      <c r="BM251">
        <v>7</v>
      </c>
      <c r="BN251">
        <v>31.6</v>
      </c>
      <c r="BO251">
        <v>8</v>
      </c>
      <c r="BU251" t="s">
        <v>625</v>
      </c>
      <c r="BV251">
        <v>39.454999999999998</v>
      </c>
      <c r="BW251">
        <v>0.68881782999999996</v>
      </c>
      <c r="BX251">
        <v>6</v>
      </c>
      <c r="BY251">
        <v>39.954999999999998</v>
      </c>
      <c r="BZ251">
        <v>0.65570572999999999</v>
      </c>
      <c r="CA251">
        <v>6</v>
      </c>
      <c r="CB251" t="s">
        <v>113</v>
      </c>
      <c r="CC251" t="s">
        <v>365</v>
      </c>
    </row>
    <row r="252" spans="1:81" x14ac:dyDescent="0.25">
      <c r="A252" t="s">
        <v>81</v>
      </c>
      <c r="B252">
        <v>251</v>
      </c>
      <c r="C252">
        <v>44</v>
      </c>
      <c r="D252">
        <v>43</v>
      </c>
      <c r="E252">
        <v>41</v>
      </c>
      <c r="F252">
        <v>43</v>
      </c>
      <c r="G252">
        <v>128</v>
      </c>
      <c r="H252">
        <v>183</v>
      </c>
      <c r="I252" t="s">
        <v>589</v>
      </c>
      <c r="J252" t="s">
        <v>83</v>
      </c>
      <c r="K252" s="3" t="s">
        <v>590</v>
      </c>
      <c r="M252" t="s">
        <v>85</v>
      </c>
      <c r="O252" t="s">
        <v>14</v>
      </c>
      <c r="P252" t="s">
        <v>591</v>
      </c>
      <c r="Q252" t="s">
        <v>592</v>
      </c>
      <c r="R252">
        <v>2020</v>
      </c>
      <c r="S252" t="s">
        <v>146</v>
      </c>
      <c r="U252" t="s">
        <v>593</v>
      </c>
      <c r="V252" t="s">
        <v>594</v>
      </c>
      <c r="W252" t="s">
        <v>91</v>
      </c>
      <c r="X252" t="s">
        <v>126</v>
      </c>
      <c r="Y252" t="s">
        <v>434</v>
      </c>
      <c r="Z252" t="s">
        <v>619</v>
      </c>
      <c r="AA252" t="s">
        <v>620</v>
      </c>
      <c r="AB252" t="s">
        <v>621</v>
      </c>
      <c r="AC252" t="s">
        <v>622</v>
      </c>
      <c r="AD252" t="s">
        <v>132</v>
      </c>
      <c r="AE252" t="s">
        <v>133</v>
      </c>
      <c r="AF252" t="s">
        <v>100</v>
      </c>
      <c r="AG252" t="s">
        <v>102</v>
      </c>
      <c r="AH252" t="s">
        <v>102</v>
      </c>
      <c r="AI252" t="s">
        <v>134</v>
      </c>
      <c r="AJ252" t="s">
        <v>135</v>
      </c>
      <c r="AM252" t="s">
        <v>136</v>
      </c>
      <c r="AN252" t="s">
        <v>106</v>
      </c>
      <c r="AU252">
        <f>(0.00025+0.0005055)/2</f>
        <v>3.7774999999999999E-4</v>
      </c>
      <c r="AV252">
        <v>14</v>
      </c>
      <c r="AW252" t="s">
        <v>108</v>
      </c>
      <c r="AX252">
        <v>29.8</v>
      </c>
      <c r="AY252" t="s">
        <v>103</v>
      </c>
      <c r="AZ252" t="s">
        <v>109</v>
      </c>
      <c r="BB252">
        <v>28.4</v>
      </c>
      <c r="BC252">
        <v>29.3</v>
      </c>
      <c r="BD252">
        <f t="shared" si="11"/>
        <v>0.2</v>
      </c>
      <c r="BE252" t="s">
        <v>139</v>
      </c>
      <c r="BF252">
        <v>11</v>
      </c>
      <c r="BG252">
        <f>0.49/60</f>
        <v>8.1666666666666658E-3</v>
      </c>
      <c r="BM252">
        <v>7</v>
      </c>
      <c r="BN252">
        <v>31.6</v>
      </c>
      <c r="BO252">
        <v>8</v>
      </c>
      <c r="BU252" t="s">
        <v>626</v>
      </c>
      <c r="BV252">
        <v>40.340000000000003</v>
      </c>
      <c r="BW252">
        <v>0.53347915000000001</v>
      </c>
      <c r="BX252">
        <v>6</v>
      </c>
      <c r="BY252">
        <v>40.954999999999998</v>
      </c>
      <c r="BZ252">
        <v>0.59688357000000003</v>
      </c>
      <c r="CA252">
        <v>6</v>
      </c>
      <c r="CB252" t="s">
        <v>113</v>
      </c>
      <c r="CC252" t="s">
        <v>365</v>
      </c>
    </row>
    <row r="253" spans="1:81" x14ac:dyDescent="0.25">
      <c r="A253" t="s">
        <v>81</v>
      </c>
      <c r="B253">
        <v>252</v>
      </c>
      <c r="C253">
        <v>44</v>
      </c>
      <c r="D253">
        <v>43</v>
      </c>
      <c r="E253">
        <v>41</v>
      </c>
      <c r="F253">
        <v>43</v>
      </c>
      <c r="G253">
        <v>129</v>
      </c>
      <c r="H253">
        <v>184</v>
      </c>
      <c r="I253" t="s">
        <v>589</v>
      </c>
      <c r="J253" t="s">
        <v>83</v>
      </c>
      <c r="K253" s="3" t="s">
        <v>590</v>
      </c>
      <c r="M253" t="s">
        <v>85</v>
      </c>
      <c r="O253" t="s">
        <v>14</v>
      </c>
      <c r="P253" t="s">
        <v>591</v>
      </c>
      <c r="Q253" t="s">
        <v>592</v>
      </c>
      <c r="R253">
        <v>2020</v>
      </c>
      <c r="S253" t="s">
        <v>146</v>
      </c>
      <c r="U253" t="s">
        <v>593</v>
      </c>
      <c r="V253" t="s">
        <v>594</v>
      </c>
      <c r="W253" t="s">
        <v>91</v>
      </c>
      <c r="X253" t="s">
        <v>126</v>
      </c>
      <c r="Y253" t="s">
        <v>434</v>
      </c>
      <c r="Z253" t="s">
        <v>619</v>
      </c>
      <c r="AA253" t="s">
        <v>620</v>
      </c>
      <c r="AB253" t="s">
        <v>621</v>
      </c>
      <c r="AC253" t="s">
        <v>622</v>
      </c>
      <c r="AD253" t="s">
        <v>132</v>
      </c>
      <c r="AE253" t="s">
        <v>133</v>
      </c>
      <c r="AF253" t="s">
        <v>100</v>
      </c>
      <c r="AG253" t="s">
        <v>102</v>
      </c>
      <c r="AH253" t="s">
        <v>102</v>
      </c>
      <c r="AI253" t="s">
        <v>134</v>
      </c>
      <c r="AJ253" t="s">
        <v>135</v>
      </c>
      <c r="AM253" t="s">
        <v>136</v>
      </c>
      <c r="AN253" t="s">
        <v>106</v>
      </c>
      <c r="AU253">
        <f>(0.0004746667+0.0006485)/2</f>
        <v>5.6158334999999995E-4</v>
      </c>
      <c r="AV253">
        <v>14</v>
      </c>
      <c r="AW253" t="s">
        <v>108</v>
      </c>
      <c r="AX253">
        <v>29.8</v>
      </c>
      <c r="AY253" t="s">
        <v>103</v>
      </c>
      <c r="AZ253" t="s">
        <v>109</v>
      </c>
      <c r="BB253">
        <v>28.4</v>
      </c>
      <c r="BC253">
        <v>29.3</v>
      </c>
      <c r="BD253">
        <f t="shared" si="11"/>
        <v>0.2</v>
      </c>
      <c r="BE253" t="s">
        <v>139</v>
      </c>
      <c r="BF253">
        <v>11</v>
      </c>
      <c r="BG253">
        <f>1/60</f>
        <v>1.6666666666666666E-2</v>
      </c>
      <c r="BM253">
        <v>7</v>
      </c>
      <c r="BN253">
        <v>31.6</v>
      </c>
      <c r="BO253">
        <v>8</v>
      </c>
      <c r="BU253" t="s">
        <v>627</v>
      </c>
      <c r="BV253">
        <v>40.793329999999997</v>
      </c>
      <c r="BW253">
        <v>0.91823018000000001</v>
      </c>
      <c r="BX253">
        <v>6</v>
      </c>
      <c r="BY253">
        <v>40.958329999999997</v>
      </c>
      <c r="BZ253">
        <v>0.55718637999999998</v>
      </c>
      <c r="CA253">
        <v>6</v>
      </c>
      <c r="CB253" t="s">
        <v>113</v>
      </c>
      <c r="CC253" t="s">
        <v>365</v>
      </c>
    </row>
    <row r="254" spans="1:81" x14ac:dyDescent="0.25">
      <c r="A254" t="s">
        <v>81</v>
      </c>
      <c r="B254">
        <v>253</v>
      </c>
      <c r="C254">
        <v>44</v>
      </c>
      <c r="D254">
        <v>43</v>
      </c>
      <c r="E254">
        <v>41</v>
      </c>
      <c r="F254">
        <v>43</v>
      </c>
      <c r="G254">
        <v>130</v>
      </c>
      <c r="H254">
        <v>185</v>
      </c>
      <c r="I254" t="s">
        <v>589</v>
      </c>
      <c r="J254" t="s">
        <v>83</v>
      </c>
      <c r="K254" s="3" t="s">
        <v>590</v>
      </c>
      <c r="M254" t="s">
        <v>85</v>
      </c>
      <c r="O254" t="s">
        <v>14</v>
      </c>
      <c r="P254" t="s">
        <v>591</v>
      </c>
      <c r="Q254" t="s">
        <v>592</v>
      </c>
      <c r="R254">
        <v>2020</v>
      </c>
      <c r="S254" t="s">
        <v>146</v>
      </c>
      <c r="U254" t="s">
        <v>593</v>
      </c>
      <c r="V254" t="s">
        <v>594</v>
      </c>
      <c r="W254" t="s">
        <v>91</v>
      </c>
      <c r="X254" t="s">
        <v>126</v>
      </c>
      <c r="Y254" t="s">
        <v>434</v>
      </c>
      <c r="Z254" t="s">
        <v>619</v>
      </c>
      <c r="AA254" t="s">
        <v>620</v>
      </c>
      <c r="AB254" t="s">
        <v>621</v>
      </c>
      <c r="AC254" t="s">
        <v>622</v>
      </c>
      <c r="AD254" t="s">
        <v>132</v>
      </c>
      <c r="AE254" t="s">
        <v>133</v>
      </c>
      <c r="AF254" t="s">
        <v>100</v>
      </c>
      <c r="AG254" t="s">
        <v>102</v>
      </c>
      <c r="AH254" t="s">
        <v>102</v>
      </c>
      <c r="AI254" t="s">
        <v>134</v>
      </c>
      <c r="AJ254" t="s">
        <v>135</v>
      </c>
      <c r="AM254" t="s">
        <v>136</v>
      </c>
      <c r="AN254" t="s">
        <v>106</v>
      </c>
      <c r="AU254">
        <f>(0.0004128+0.0007698333)/2</f>
        <v>5.9131665000000005E-4</v>
      </c>
      <c r="AV254">
        <v>14</v>
      </c>
      <c r="AW254" t="s">
        <v>108</v>
      </c>
      <c r="AX254">
        <v>29.8</v>
      </c>
      <c r="AY254" t="s">
        <v>103</v>
      </c>
      <c r="AZ254" t="s">
        <v>109</v>
      </c>
      <c r="BB254">
        <v>28.4</v>
      </c>
      <c r="BC254">
        <v>29.3</v>
      </c>
      <c r="BD254">
        <f t="shared" si="11"/>
        <v>0.2</v>
      </c>
      <c r="BE254" t="s">
        <v>139</v>
      </c>
      <c r="BF254">
        <v>11</v>
      </c>
      <c r="BG254">
        <f>5.04/60</f>
        <v>8.4000000000000005E-2</v>
      </c>
      <c r="BM254">
        <v>7</v>
      </c>
      <c r="BN254">
        <v>31.6</v>
      </c>
      <c r="BO254">
        <v>8</v>
      </c>
      <c r="BU254" t="s">
        <v>628</v>
      </c>
      <c r="BV254">
        <v>42.335999999999999</v>
      </c>
      <c r="BW254">
        <v>0.49262561999999999</v>
      </c>
      <c r="BX254">
        <v>5</v>
      </c>
      <c r="BY254">
        <v>42.008330000000001</v>
      </c>
      <c r="BZ254">
        <v>0.30902534999999998</v>
      </c>
      <c r="CA254">
        <v>6</v>
      </c>
      <c r="CB254" t="s">
        <v>113</v>
      </c>
      <c r="CC254" t="s">
        <v>365</v>
      </c>
    </row>
    <row r="255" spans="1:81" x14ac:dyDescent="0.25">
      <c r="A255" t="s">
        <v>81</v>
      </c>
      <c r="B255">
        <v>254</v>
      </c>
      <c r="C255">
        <v>44</v>
      </c>
      <c r="D255">
        <v>43</v>
      </c>
      <c r="E255">
        <v>41</v>
      </c>
      <c r="F255">
        <v>43</v>
      </c>
      <c r="G255">
        <v>131</v>
      </c>
      <c r="H255">
        <v>186</v>
      </c>
      <c r="I255" t="s">
        <v>589</v>
      </c>
      <c r="J255" t="s">
        <v>83</v>
      </c>
      <c r="K255" s="3" t="s">
        <v>590</v>
      </c>
      <c r="M255" t="s">
        <v>85</v>
      </c>
      <c r="O255" t="s">
        <v>14</v>
      </c>
      <c r="P255" t="s">
        <v>591</v>
      </c>
      <c r="Q255" t="s">
        <v>592</v>
      </c>
      <c r="R255">
        <v>2020</v>
      </c>
      <c r="S255" t="s">
        <v>146</v>
      </c>
      <c r="U255" t="s">
        <v>593</v>
      </c>
      <c r="V255" t="s">
        <v>594</v>
      </c>
      <c r="W255" t="s">
        <v>91</v>
      </c>
      <c r="X255" t="s">
        <v>126</v>
      </c>
      <c r="Y255" t="s">
        <v>434</v>
      </c>
      <c r="Z255" t="s">
        <v>619</v>
      </c>
      <c r="AA255" t="s">
        <v>620</v>
      </c>
      <c r="AB255" t="s">
        <v>621</v>
      </c>
      <c r="AC255" t="s">
        <v>622</v>
      </c>
      <c r="AD255" t="s">
        <v>132</v>
      </c>
      <c r="AE255" t="s">
        <v>133</v>
      </c>
      <c r="AF255" t="s">
        <v>100</v>
      </c>
      <c r="AG255" t="s">
        <v>102</v>
      </c>
      <c r="AH255" t="s">
        <v>102</v>
      </c>
      <c r="AI255" t="s">
        <v>134</v>
      </c>
      <c r="AJ255" t="s">
        <v>135</v>
      </c>
      <c r="AM255" t="s">
        <v>136</v>
      </c>
      <c r="AN255" t="s">
        <v>106</v>
      </c>
      <c r="AU255">
        <f>(0.001935+0.002206667)/2</f>
        <v>2.0708335E-3</v>
      </c>
      <c r="AV255">
        <v>21</v>
      </c>
      <c r="AW255" t="s">
        <v>108</v>
      </c>
      <c r="AX255">
        <v>29.8</v>
      </c>
      <c r="AY255" t="s">
        <v>103</v>
      </c>
      <c r="AZ255" t="s">
        <v>109</v>
      </c>
      <c r="BB255">
        <v>28.4</v>
      </c>
      <c r="BC255">
        <v>29.3</v>
      </c>
      <c r="BD255">
        <f t="shared" si="11"/>
        <v>0.2</v>
      </c>
      <c r="BE255" t="s">
        <v>139</v>
      </c>
      <c r="BF255">
        <v>18</v>
      </c>
      <c r="BG255">
        <f>0.49/60</f>
        <v>8.1666666666666658E-3</v>
      </c>
      <c r="BM255">
        <v>7</v>
      </c>
      <c r="BN255">
        <v>31.6</v>
      </c>
      <c r="BO255">
        <v>8</v>
      </c>
      <c r="BU255" t="s">
        <v>629</v>
      </c>
      <c r="BV255">
        <v>40.656669999999998</v>
      </c>
      <c r="BW255">
        <v>0.24418572</v>
      </c>
      <c r="BX255">
        <v>6</v>
      </c>
      <c r="BY255">
        <v>40.799999999999997</v>
      </c>
      <c r="BZ255">
        <v>0.53855361999999996</v>
      </c>
      <c r="CA255">
        <v>6</v>
      </c>
      <c r="CB255" t="s">
        <v>113</v>
      </c>
      <c r="CC255" t="s">
        <v>365</v>
      </c>
    </row>
    <row r="256" spans="1:81" x14ac:dyDescent="0.25">
      <c r="A256" t="s">
        <v>81</v>
      </c>
      <c r="B256">
        <v>255</v>
      </c>
      <c r="C256">
        <v>44</v>
      </c>
      <c r="D256">
        <v>43</v>
      </c>
      <c r="E256">
        <v>41</v>
      </c>
      <c r="F256">
        <v>43</v>
      </c>
      <c r="G256">
        <v>132</v>
      </c>
      <c r="H256">
        <v>187</v>
      </c>
      <c r="I256" t="s">
        <v>589</v>
      </c>
      <c r="J256" t="s">
        <v>83</v>
      </c>
      <c r="K256" s="3" t="s">
        <v>590</v>
      </c>
      <c r="M256" t="s">
        <v>85</v>
      </c>
      <c r="O256" t="s">
        <v>14</v>
      </c>
      <c r="P256" t="s">
        <v>591</v>
      </c>
      <c r="Q256" t="s">
        <v>592</v>
      </c>
      <c r="R256">
        <v>2020</v>
      </c>
      <c r="S256" t="s">
        <v>146</v>
      </c>
      <c r="U256" t="s">
        <v>593</v>
      </c>
      <c r="V256" t="s">
        <v>594</v>
      </c>
      <c r="W256" t="s">
        <v>91</v>
      </c>
      <c r="X256" t="s">
        <v>126</v>
      </c>
      <c r="Y256" t="s">
        <v>434</v>
      </c>
      <c r="Z256" t="s">
        <v>619</v>
      </c>
      <c r="AA256" t="s">
        <v>620</v>
      </c>
      <c r="AB256" t="s">
        <v>621</v>
      </c>
      <c r="AC256" t="s">
        <v>622</v>
      </c>
      <c r="AD256" t="s">
        <v>132</v>
      </c>
      <c r="AE256" t="s">
        <v>133</v>
      </c>
      <c r="AF256" t="s">
        <v>100</v>
      </c>
      <c r="AG256" t="s">
        <v>102</v>
      </c>
      <c r="AH256" t="s">
        <v>102</v>
      </c>
      <c r="AI256" t="s">
        <v>134</v>
      </c>
      <c r="AJ256" t="s">
        <v>135</v>
      </c>
      <c r="AM256" t="s">
        <v>136</v>
      </c>
      <c r="AN256" t="s">
        <v>106</v>
      </c>
      <c r="AU256">
        <f>(0.003711667+0.008341667)/2</f>
        <v>6.0266670000000003E-3</v>
      </c>
      <c r="AV256">
        <v>21</v>
      </c>
      <c r="AW256" t="s">
        <v>108</v>
      </c>
      <c r="AX256">
        <v>29.8</v>
      </c>
      <c r="AY256" t="s">
        <v>103</v>
      </c>
      <c r="AZ256" t="s">
        <v>109</v>
      </c>
      <c r="BB256">
        <v>28.4</v>
      </c>
      <c r="BC256">
        <v>29.3</v>
      </c>
      <c r="BD256">
        <f t="shared" si="11"/>
        <v>0.2</v>
      </c>
      <c r="BE256" t="s">
        <v>139</v>
      </c>
      <c r="BF256">
        <v>18</v>
      </c>
      <c r="BG256">
        <f>1/60</f>
        <v>1.6666666666666666E-2</v>
      </c>
      <c r="BM256">
        <v>7</v>
      </c>
      <c r="BN256">
        <v>31.6</v>
      </c>
      <c r="BO256">
        <v>8</v>
      </c>
      <c r="BU256" t="s">
        <v>630</v>
      </c>
      <c r="BV256">
        <v>40.803330000000003</v>
      </c>
      <c r="BW256">
        <v>0.37382704999999999</v>
      </c>
      <c r="BX256">
        <v>6</v>
      </c>
      <c r="BY256">
        <v>40.721670000000003</v>
      </c>
      <c r="BZ256">
        <v>0.40405033000000001</v>
      </c>
      <c r="CA256">
        <v>6</v>
      </c>
      <c r="CB256" t="s">
        <v>113</v>
      </c>
      <c r="CC256" t="s">
        <v>365</v>
      </c>
    </row>
    <row r="257" spans="1:81" x14ac:dyDescent="0.25">
      <c r="A257" t="s">
        <v>81</v>
      </c>
      <c r="B257">
        <v>256</v>
      </c>
      <c r="C257">
        <v>44</v>
      </c>
      <c r="D257">
        <v>43</v>
      </c>
      <c r="E257">
        <v>41</v>
      </c>
      <c r="F257">
        <v>43</v>
      </c>
      <c r="G257">
        <v>133</v>
      </c>
      <c r="H257">
        <v>188</v>
      </c>
      <c r="I257" t="s">
        <v>589</v>
      </c>
      <c r="J257" t="s">
        <v>83</v>
      </c>
      <c r="K257" s="3" t="s">
        <v>590</v>
      </c>
      <c r="M257" t="s">
        <v>85</v>
      </c>
      <c r="O257" t="s">
        <v>14</v>
      </c>
      <c r="P257" t="s">
        <v>591</v>
      </c>
      <c r="Q257" t="s">
        <v>592</v>
      </c>
      <c r="R257">
        <v>2020</v>
      </c>
      <c r="S257" t="s">
        <v>146</v>
      </c>
      <c r="U257" t="s">
        <v>593</v>
      </c>
      <c r="V257" t="s">
        <v>594</v>
      </c>
      <c r="W257" t="s">
        <v>91</v>
      </c>
      <c r="X257" t="s">
        <v>126</v>
      </c>
      <c r="Y257" t="s">
        <v>434</v>
      </c>
      <c r="Z257" t="s">
        <v>619</v>
      </c>
      <c r="AA257" t="s">
        <v>620</v>
      </c>
      <c r="AB257" t="s">
        <v>621</v>
      </c>
      <c r="AC257" t="s">
        <v>622</v>
      </c>
      <c r="AD257" t="s">
        <v>132</v>
      </c>
      <c r="AE257" t="s">
        <v>133</v>
      </c>
      <c r="AF257" t="s">
        <v>100</v>
      </c>
      <c r="AG257" t="s">
        <v>102</v>
      </c>
      <c r="AH257" t="s">
        <v>102</v>
      </c>
      <c r="AI257" t="s">
        <v>134</v>
      </c>
      <c r="AJ257" t="s">
        <v>135</v>
      </c>
      <c r="AM257" t="s">
        <v>136</v>
      </c>
      <c r="AN257" t="s">
        <v>106</v>
      </c>
      <c r="AU257">
        <f>(0.00365+0.006616667)/2</f>
        <v>5.1333335000000001E-3</v>
      </c>
      <c r="AV257">
        <v>21</v>
      </c>
      <c r="AW257" t="s">
        <v>108</v>
      </c>
      <c r="AX257">
        <v>29.8</v>
      </c>
      <c r="AY257" t="s">
        <v>103</v>
      </c>
      <c r="AZ257" t="s">
        <v>109</v>
      </c>
      <c r="BB257">
        <v>28.4</v>
      </c>
      <c r="BC257">
        <v>29.3</v>
      </c>
      <c r="BD257">
        <f t="shared" si="11"/>
        <v>0.2</v>
      </c>
      <c r="BE257" t="s">
        <v>139</v>
      </c>
      <c r="BF257">
        <v>18</v>
      </c>
      <c r="BG257">
        <f>5.04/60</f>
        <v>8.4000000000000005E-2</v>
      </c>
      <c r="BM257">
        <v>7</v>
      </c>
      <c r="BN257">
        <v>31.6</v>
      </c>
      <c r="BO257">
        <v>8</v>
      </c>
      <c r="BU257" t="s">
        <v>631</v>
      </c>
      <c r="BV257">
        <v>41.866669999999999</v>
      </c>
      <c r="BW257">
        <v>0.32166234999999999</v>
      </c>
      <c r="BX257">
        <v>6</v>
      </c>
      <c r="BY257">
        <v>41.861669999999997</v>
      </c>
      <c r="BZ257">
        <v>0.64753121000000002</v>
      </c>
      <c r="CA257">
        <v>6</v>
      </c>
      <c r="CB257" t="s">
        <v>113</v>
      </c>
      <c r="CC257" t="s">
        <v>365</v>
      </c>
    </row>
    <row r="258" spans="1:81" x14ac:dyDescent="0.25">
      <c r="A258" t="s">
        <v>81</v>
      </c>
      <c r="B258">
        <v>257</v>
      </c>
      <c r="C258">
        <v>45</v>
      </c>
      <c r="D258">
        <v>10</v>
      </c>
      <c r="E258">
        <v>42</v>
      </c>
      <c r="F258">
        <v>44</v>
      </c>
      <c r="G258">
        <v>134</v>
      </c>
      <c r="H258">
        <v>189</v>
      </c>
      <c r="I258" t="s">
        <v>632</v>
      </c>
      <c r="J258" t="s">
        <v>220</v>
      </c>
      <c r="L258" t="s">
        <v>633</v>
      </c>
      <c r="M258" t="s">
        <v>85</v>
      </c>
      <c r="O258" t="s">
        <v>14</v>
      </c>
      <c r="P258" t="s">
        <v>634</v>
      </c>
      <c r="Q258" t="s">
        <v>635</v>
      </c>
      <c r="R258">
        <v>2005</v>
      </c>
      <c r="S258" t="s">
        <v>636</v>
      </c>
      <c r="U258" t="s">
        <v>637</v>
      </c>
      <c r="V258" t="s">
        <v>638</v>
      </c>
      <c r="W258" t="s">
        <v>91</v>
      </c>
      <c r="X258" t="s">
        <v>126</v>
      </c>
      <c r="Y258" t="s">
        <v>190</v>
      </c>
      <c r="Z258" t="s">
        <v>191</v>
      </c>
      <c r="AA258" t="s">
        <v>192</v>
      </c>
      <c r="AB258" t="s">
        <v>227</v>
      </c>
      <c r="AC258" t="s">
        <v>228</v>
      </c>
      <c r="AD258" t="s">
        <v>132</v>
      </c>
      <c r="AE258" t="s">
        <v>133</v>
      </c>
      <c r="AF258" t="s">
        <v>100</v>
      </c>
      <c r="AG258" t="s">
        <v>102</v>
      </c>
      <c r="AH258" t="s">
        <v>102</v>
      </c>
      <c r="AI258" t="s">
        <v>134</v>
      </c>
      <c r="AJ258" t="s">
        <v>135</v>
      </c>
      <c r="AM258" t="s">
        <v>136</v>
      </c>
      <c r="AN258" t="s">
        <v>106</v>
      </c>
      <c r="AT258">
        <f>87</f>
        <v>87</v>
      </c>
      <c r="AV258">
        <f>365/2</f>
        <v>182.5</v>
      </c>
      <c r="AW258" t="s">
        <v>108</v>
      </c>
      <c r="AX258">
        <v>17</v>
      </c>
      <c r="AY258" t="s">
        <v>103</v>
      </c>
      <c r="AZ258" t="s">
        <v>109</v>
      </c>
      <c r="BA258" t="s">
        <v>138</v>
      </c>
      <c r="BB258">
        <v>15</v>
      </c>
      <c r="BC258">
        <v>20</v>
      </c>
      <c r="BE258" t="s">
        <v>139</v>
      </c>
      <c r="BF258">
        <v>30</v>
      </c>
      <c r="BG258">
        <f>5/60</f>
        <v>8.3333333333333329E-2</v>
      </c>
      <c r="BU258" t="s">
        <v>639</v>
      </c>
      <c r="BV258">
        <v>29.597178700000001</v>
      </c>
      <c r="BW258">
        <v>0.12297834000000001</v>
      </c>
      <c r="BX258">
        <v>19</v>
      </c>
      <c r="BY258">
        <v>30.370967700000001</v>
      </c>
      <c r="BZ258">
        <v>0.21182523</v>
      </c>
      <c r="CA258">
        <v>22</v>
      </c>
      <c r="CB258" t="s">
        <v>113</v>
      </c>
      <c r="CC258" t="s">
        <v>141</v>
      </c>
    </row>
    <row r="259" spans="1:81" x14ac:dyDescent="0.25">
      <c r="A259" t="s">
        <v>81</v>
      </c>
      <c r="B259">
        <v>258</v>
      </c>
      <c r="C259">
        <v>45</v>
      </c>
      <c r="D259">
        <v>10</v>
      </c>
      <c r="E259">
        <v>42</v>
      </c>
      <c r="F259">
        <v>44</v>
      </c>
      <c r="G259">
        <v>135</v>
      </c>
      <c r="H259">
        <v>189</v>
      </c>
      <c r="I259" t="s">
        <v>632</v>
      </c>
      <c r="J259" t="s">
        <v>220</v>
      </c>
      <c r="L259" t="s">
        <v>633</v>
      </c>
      <c r="M259" t="s">
        <v>85</v>
      </c>
      <c r="O259" t="s">
        <v>14</v>
      </c>
      <c r="P259" t="s">
        <v>634</v>
      </c>
      <c r="Q259" t="s">
        <v>635</v>
      </c>
      <c r="R259">
        <v>2005</v>
      </c>
      <c r="S259" t="s">
        <v>636</v>
      </c>
      <c r="U259" t="s">
        <v>637</v>
      </c>
      <c r="V259" t="s">
        <v>638</v>
      </c>
      <c r="W259" t="s">
        <v>91</v>
      </c>
      <c r="X259" t="s">
        <v>126</v>
      </c>
      <c r="Y259" t="s">
        <v>190</v>
      </c>
      <c r="Z259" t="s">
        <v>191</v>
      </c>
      <c r="AA259" t="s">
        <v>192</v>
      </c>
      <c r="AB259" t="s">
        <v>227</v>
      </c>
      <c r="AC259" t="s">
        <v>228</v>
      </c>
      <c r="AD259" t="s">
        <v>132</v>
      </c>
      <c r="AE259" t="s">
        <v>133</v>
      </c>
      <c r="AF259" t="s">
        <v>100</v>
      </c>
      <c r="AG259" t="s">
        <v>102</v>
      </c>
      <c r="AH259" t="s">
        <v>102</v>
      </c>
      <c r="AI259" t="s">
        <v>134</v>
      </c>
      <c r="AJ259" t="s">
        <v>135</v>
      </c>
      <c r="AM259" t="s">
        <v>136</v>
      </c>
      <c r="AN259" t="s">
        <v>106</v>
      </c>
      <c r="AT259">
        <v>87</v>
      </c>
      <c r="AV259">
        <f>365/2</f>
        <v>182.5</v>
      </c>
      <c r="AW259" t="s">
        <v>108</v>
      </c>
      <c r="AX259">
        <v>17</v>
      </c>
      <c r="AY259" t="s">
        <v>103</v>
      </c>
      <c r="AZ259" t="s">
        <v>109</v>
      </c>
      <c r="BA259" t="s">
        <v>142</v>
      </c>
      <c r="BB259">
        <v>15</v>
      </c>
      <c r="BC259">
        <v>20</v>
      </c>
      <c r="BE259" t="s">
        <v>139</v>
      </c>
      <c r="BF259">
        <v>30</v>
      </c>
      <c r="BG259">
        <f>5/60</f>
        <v>8.3333333333333329E-2</v>
      </c>
      <c r="BU259" t="s">
        <v>639</v>
      </c>
      <c r="BV259">
        <v>30.001567399999999</v>
      </c>
      <c r="BW259">
        <v>0.34160649999999998</v>
      </c>
      <c r="BX259">
        <v>19</v>
      </c>
      <c r="BY259">
        <v>30.896774199999999</v>
      </c>
      <c r="BZ259">
        <v>0.18156448</v>
      </c>
      <c r="CA259">
        <v>22</v>
      </c>
      <c r="CB259" t="s">
        <v>113</v>
      </c>
      <c r="CC259" t="s">
        <v>141</v>
      </c>
    </row>
    <row r="260" spans="1:81" x14ac:dyDescent="0.25">
      <c r="A260" t="s">
        <v>81</v>
      </c>
      <c r="B260">
        <v>259</v>
      </c>
      <c r="C260">
        <v>45</v>
      </c>
      <c r="D260">
        <v>10</v>
      </c>
      <c r="E260">
        <v>43</v>
      </c>
      <c r="F260">
        <v>45</v>
      </c>
      <c r="G260">
        <v>136</v>
      </c>
      <c r="H260">
        <v>190</v>
      </c>
      <c r="I260" t="s">
        <v>632</v>
      </c>
      <c r="J260" t="s">
        <v>220</v>
      </c>
      <c r="L260" t="s">
        <v>633</v>
      </c>
      <c r="M260" t="s">
        <v>85</v>
      </c>
      <c r="O260" t="s">
        <v>14</v>
      </c>
      <c r="P260" t="s">
        <v>634</v>
      </c>
      <c r="Q260" t="s">
        <v>635</v>
      </c>
      <c r="R260">
        <v>2005</v>
      </c>
      <c r="S260" t="s">
        <v>636</v>
      </c>
      <c r="U260" t="s">
        <v>637</v>
      </c>
      <c r="V260" t="s">
        <v>638</v>
      </c>
      <c r="W260" t="s">
        <v>91</v>
      </c>
      <c r="X260" t="s">
        <v>126</v>
      </c>
      <c r="Y260" t="s">
        <v>190</v>
      </c>
      <c r="Z260" t="s">
        <v>191</v>
      </c>
      <c r="AA260" t="s">
        <v>192</v>
      </c>
      <c r="AB260" t="s">
        <v>227</v>
      </c>
      <c r="AC260" t="s">
        <v>228</v>
      </c>
      <c r="AD260" t="s">
        <v>132</v>
      </c>
      <c r="AE260" t="s">
        <v>133</v>
      </c>
      <c r="AF260" t="s">
        <v>100</v>
      </c>
      <c r="AG260" t="s">
        <v>102</v>
      </c>
      <c r="AH260" t="s">
        <v>102</v>
      </c>
      <c r="AI260" t="s">
        <v>134</v>
      </c>
      <c r="AJ260" t="s">
        <v>135</v>
      </c>
      <c r="AM260" t="s">
        <v>136</v>
      </c>
      <c r="AN260" t="s">
        <v>106</v>
      </c>
      <c r="AT260">
        <v>95</v>
      </c>
      <c r="AV260">
        <f>365/2</f>
        <v>182.5</v>
      </c>
      <c r="AW260" t="s">
        <v>108</v>
      </c>
      <c r="AX260">
        <v>17</v>
      </c>
      <c r="AY260" t="s">
        <v>103</v>
      </c>
      <c r="AZ260" t="s">
        <v>109</v>
      </c>
      <c r="BA260" t="s">
        <v>138</v>
      </c>
      <c r="BB260">
        <v>15</v>
      </c>
      <c r="BC260">
        <v>20</v>
      </c>
      <c r="BE260" t="s">
        <v>139</v>
      </c>
      <c r="BF260">
        <v>30</v>
      </c>
      <c r="BG260">
        <f>5/60</f>
        <v>8.3333333333333329E-2</v>
      </c>
      <c r="BU260" t="s">
        <v>640</v>
      </c>
      <c r="BV260">
        <v>29.710031300000001</v>
      </c>
      <c r="BW260">
        <v>0.40992780000000001</v>
      </c>
      <c r="BX260">
        <v>19</v>
      </c>
      <c r="BY260">
        <v>30.3806452</v>
      </c>
      <c r="BZ260">
        <v>0.21182523</v>
      </c>
      <c r="CA260">
        <v>22</v>
      </c>
      <c r="CB260" t="s">
        <v>113</v>
      </c>
      <c r="CC260" t="s">
        <v>141</v>
      </c>
    </row>
    <row r="261" spans="1:81" x14ac:dyDescent="0.25">
      <c r="A261" t="s">
        <v>81</v>
      </c>
      <c r="B261">
        <v>260</v>
      </c>
      <c r="C261">
        <v>45</v>
      </c>
      <c r="D261">
        <v>10</v>
      </c>
      <c r="E261">
        <v>43</v>
      </c>
      <c r="F261">
        <v>45</v>
      </c>
      <c r="G261">
        <v>137</v>
      </c>
      <c r="H261">
        <v>190</v>
      </c>
      <c r="I261" t="s">
        <v>632</v>
      </c>
      <c r="J261" t="s">
        <v>220</v>
      </c>
      <c r="L261" t="s">
        <v>633</v>
      </c>
      <c r="M261" t="s">
        <v>85</v>
      </c>
      <c r="O261" t="s">
        <v>14</v>
      </c>
      <c r="P261" t="s">
        <v>634</v>
      </c>
      <c r="Q261" t="s">
        <v>635</v>
      </c>
      <c r="R261">
        <v>2005</v>
      </c>
      <c r="S261" t="s">
        <v>636</v>
      </c>
      <c r="U261" t="s">
        <v>637</v>
      </c>
      <c r="V261" t="s">
        <v>638</v>
      </c>
      <c r="W261" t="s">
        <v>91</v>
      </c>
      <c r="X261" t="s">
        <v>126</v>
      </c>
      <c r="Y261" t="s">
        <v>190</v>
      </c>
      <c r="Z261" t="s">
        <v>191</v>
      </c>
      <c r="AA261" t="s">
        <v>192</v>
      </c>
      <c r="AB261" t="s">
        <v>227</v>
      </c>
      <c r="AC261" t="s">
        <v>228</v>
      </c>
      <c r="AD261" t="s">
        <v>132</v>
      </c>
      <c r="AE261" t="s">
        <v>133</v>
      </c>
      <c r="AF261" t="s">
        <v>100</v>
      </c>
      <c r="AG261" t="s">
        <v>102</v>
      </c>
      <c r="AH261" t="s">
        <v>102</v>
      </c>
      <c r="AI261" t="s">
        <v>134</v>
      </c>
      <c r="AJ261" t="s">
        <v>135</v>
      </c>
      <c r="AM261" t="s">
        <v>136</v>
      </c>
      <c r="AN261" t="s">
        <v>106</v>
      </c>
      <c r="AT261">
        <v>95</v>
      </c>
      <c r="AV261">
        <f>365/2</f>
        <v>182.5</v>
      </c>
      <c r="AW261" t="s">
        <v>108</v>
      </c>
      <c r="AX261">
        <v>17</v>
      </c>
      <c r="AY261" t="s">
        <v>103</v>
      </c>
      <c r="AZ261" t="s">
        <v>109</v>
      </c>
      <c r="BA261" t="s">
        <v>142</v>
      </c>
      <c r="BB261">
        <v>15</v>
      </c>
      <c r="BC261">
        <v>20</v>
      </c>
      <c r="BE261" t="s">
        <v>139</v>
      </c>
      <c r="BF261">
        <v>30</v>
      </c>
      <c r="BG261">
        <f>5/60</f>
        <v>8.3333333333333329E-2</v>
      </c>
      <c r="BU261" t="s">
        <v>640</v>
      </c>
      <c r="BV261">
        <v>30.117554899999998</v>
      </c>
      <c r="BW261">
        <v>0.31427798000000001</v>
      </c>
      <c r="BX261">
        <v>19</v>
      </c>
      <c r="BY261">
        <v>30.645161300000002</v>
      </c>
      <c r="BZ261">
        <v>0.19669485</v>
      </c>
      <c r="CA261">
        <v>22</v>
      </c>
      <c r="CB261" t="s">
        <v>113</v>
      </c>
      <c r="CC261" t="s">
        <v>141</v>
      </c>
    </row>
    <row r="262" spans="1:81" x14ac:dyDescent="0.25">
      <c r="A262" t="s">
        <v>81</v>
      </c>
      <c r="B262">
        <v>261</v>
      </c>
      <c r="C262">
        <v>45</v>
      </c>
      <c r="D262">
        <v>10</v>
      </c>
      <c r="E262">
        <v>42</v>
      </c>
      <c r="F262">
        <v>44</v>
      </c>
      <c r="G262">
        <v>138</v>
      </c>
      <c r="H262">
        <v>191</v>
      </c>
      <c r="I262" t="s">
        <v>641</v>
      </c>
      <c r="J262" t="s">
        <v>642</v>
      </c>
      <c r="L262" t="s">
        <v>643</v>
      </c>
      <c r="M262" t="s">
        <v>85</v>
      </c>
      <c r="O262" t="s">
        <v>14</v>
      </c>
      <c r="P262" t="s">
        <v>634</v>
      </c>
      <c r="Q262" t="s">
        <v>635</v>
      </c>
      <c r="R262">
        <v>2005</v>
      </c>
      <c r="S262" t="s">
        <v>636</v>
      </c>
      <c r="U262" t="s">
        <v>637</v>
      </c>
      <c r="V262" t="s">
        <v>638</v>
      </c>
      <c r="W262" t="s">
        <v>91</v>
      </c>
      <c r="X262" t="s">
        <v>126</v>
      </c>
      <c r="Y262" t="s">
        <v>190</v>
      </c>
      <c r="Z262" t="s">
        <v>191</v>
      </c>
      <c r="AA262" t="s">
        <v>192</v>
      </c>
      <c r="AB262" t="s">
        <v>227</v>
      </c>
      <c r="AC262" t="s">
        <v>228</v>
      </c>
      <c r="AD262" t="s">
        <v>132</v>
      </c>
      <c r="AE262" t="s">
        <v>133</v>
      </c>
      <c r="AF262" t="s">
        <v>100</v>
      </c>
      <c r="AG262" t="s">
        <v>101</v>
      </c>
      <c r="AH262" t="s">
        <v>101</v>
      </c>
      <c r="AI262" t="s">
        <v>134</v>
      </c>
      <c r="AJ262" t="s">
        <v>104</v>
      </c>
      <c r="AM262" t="s">
        <v>403</v>
      </c>
      <c r="AN262" t="s">
        <v>106</v>
      </c>
      <c r="AW262" t="s">
        <v>108</v>
      </c>
      <c r="AZ262" t="s">
        <v>212</v>
      </c>
      <c r="BA262" t="s">
        <v>142</v>
      </c>
      <c r="BB262">
        <v>10</v>
      </c>
      <c r="BC262">
        <v>14</v>
      </c>
      <c r="BE262" t="s">
        <v>139</v>
      </c>
      <c r="BF262">
        <f>(1+(20/24))/2</f>
        <v>0.91666666666666674</v>
      </c>
      <c r="BH262">
        <f>360/60</f>
        <v>6</v>
      </c>
      <c r="BI262">
        <v>6</v>
      </c>
      <c r="BJ262">
        <v>1</v>
      </c>
      <c r="BK262">
        <v>41</v>
      </c>
      <c r="BS262" t="s">
        <v>644</v>
      </c>
      <c r="BT262" t="s">
        <v>645</v>
      </c>
      <c r="BU262" t="s">
        <v>646</v>
      </c>
      <c r="BV262">
        <v>19.176970000000001</v>
      </c>
      <c r="BW262">
        <v>0.49054950000000003</v>
      </c>
      <c r="BX262">
        <v>6</v>
      </c>
      <c r="BY262">
        <v>17.118040000000001</v>
      </c>
      <c r="BZ262">
        <v>0.13406609999999999</v>
      </c>
      <c r="CA262">
        <v>6</v>
      </c>
      <c r="CB262" t="s">
        <v>215</v>
      </c>
      <c r="CC262" t="s">
        <v>647</v>
      </c>
    </row>
    <row r="263" spans="1:81" x14ac:dyDescent="0.25">
      <c r="A263" t="s">
        <v>81</v>
      </c>
      <c r="B263">
        <v>262</v>
      </c>
      <c r="C263">
        <v>45</v>
      </c>
      <c r="D263">
        <v>10</v>
      </c>
      <c r="E263">
        <v>42</v>
      </c>
      <c r="F263">
        <v>44</v>
      </c>
      <c r="G263">
        <v>139</v>
      </c>
      <c r="H263">
        <v>192</v>
      </c>
      <c r="I263" t="s">
        <v>641</v>
      </c>
      <c r="J263" t="s">
        <v>642</v>
      </c>
      <c r="L263" t="s">
        <v>643</v>
      </c>
      <c r="M263" t="s">
        <v>85</v>
      </c>
      <c r="O263" t="s">
        <v>14</v>
      </c>
      <c r="P263" t="s">
        <v>634</v>
      </c>
      <c r="Q263" t="s">
        <v>635</v>
      </c>
      <c r="R263">
        <v>2005</v>
      </c>
      <c r="S263" t="s">
        <v>636</v>
      </c>
      <c r="U263" t="s">
        <v>637</v>
      </c>
      <c r="V263" t="s">
        <v>638</v>
      </c>
      <c r="W263" t="s">
        <v>91</v>
      </c>
      <c r="X263" t="s">
        <v>126</v>
      </c>
      <c r="Y263" t="s">
        <v>190</v>
      </c>
      <c r="Z263" t="s">
        <v>191</v>
      </c>
      <c r="AA263" t="s">
        <v>192</v>
      </c>
      <c r="AB263" t="s">
        <v>227</v>
      </c>
      <c r="AC263" t="s">
        <v>228</v>
      </c>
      <c r="AD263" t="s">
        <v>132</v>
      </c>
      <c r="AE263" t="s">
        <v>133</v>
      </c>
      <c r="AF263" t="s">
        <v>100</v>
      </c>
      <c r="AG263" t="s">
        <v>101</v>
      </c>
      <c r="AH263" t="s">
        <v>101</v>
      </c>
      <c r="AI263" t="s">
        <v>134</v>
      </c>
      <c r="AJ263" t="s">
        <v>104</v>
      </c>
      <c r="AM263" t="s">
        <v>403</v>
      </c>
      <c r="AN263" t="s">
        <v>106</v>
      </c>
      <c r="AW263" t="s">
        <v>108</v>
      </c>
      <c r="AZ263" t="s">
        <v>212</v>
      </c>
      <c r="BA263" t="s">
        <v>142</v>
      </c>
      <c r="BB263">
        <v>10</v>
      </c>
      <c r="BC263">
        <v>14</v>
      </c>
      <c r="BE263" t="s">
        <v>139</v>
      </c>
      <c r="BF263">
        <f>(1+(20/24))/2</f>
        <v>0.91666666666666674</v>
      </c>
      <c r="BH263">
        <f>720/60</f>
        <v>12</v>
      </c>
      <c r="BI263">
        <v>6</v>
      </c>
      <c r="BJ263">
        <v>1</v>
      </c>
      <c r="BK263">
        <v>41</v>
      </c>
      <c r="BS263" t="s">
        <v>644</v>
      </c>
      <c r="BT263" t="s">
        <v>645</v>
      </c>
      <c r="BU263" t="s">
        <v>646</v>
      </c>
      <c r="BV263">
        <v>20.11027</v>
      </c>
      <c r="BW263">
        <v>0.96329670000000001</v>
      </c>
      <c r="BX263">
        <v>6</v>
      </c>
      <c r="BY263">
        <v>16.989100000000001</v>
      </c>
      <c r="BZ263">
        <v>0.19289139999999999</v>
      </c>
      <c r="CA263">
        <v>6</v>
      </c>
      <c r="CB263" t="s">
        <v>215</v>
      </c>
      <c r="CC263" t="s">
        <v>647</v>
      </c>
    </row>
    <row r="264" spans="1:81" x14ac:dyDescent="0.25">
      <c r="A264" t="s">
        <v>81</v>
      </c>
      <c r="B264">
        <v>263</v>
      </c>
      <c r="C264">
        <v>45</v>
      </c>
      <c r="D264">
        <v>10</v>
      </c>
      <c r="E264">
        <v>42</v>
      </c>
      <c r="F264">
        <v>44</v>
      </c>
      <c r="G264">
        <v>140</v>
      </c>
      <c r="H264">
        <v>193</v>
      </c>
      <c r="I264" t="s">
        <v>641</v>
      </c>
      <c r="J264" t="s">
        <v>642</v>
      </c>
      <c r="L264" t="s">
        <v>643</v>
      </c>
      <c r="M264" t="s">
        <v>85</v>
      </c>
      <c r="O264" t="s">
        <v>14</v>
      </c>
      <c r="P264" t="s">
        <v>634</v>
      </c>
      <c r="Q264" t="s">
        <v>635</v>
      </c>
      <c r="R264">
        <v>2005</v>
      </c>
      <c r="S264" t="s">
        <v>636</v>
      </c>
      <c r="U264" t="s">
        <v>637</v>
      </c>
      <c r="V264" t="s">
        <v>638</v>
      </c>
      <c r="W264" t="s">
        <v>91</v>
      </c>
      <c r="X264" t="s">
        <v>126</v>
      </c>
      <c r="Y264" t="s">
        <v>190</v>
      </c>
      <c r="Z264" t="s">
        <v>191</v>
      </c>
      <c r="AA264" t="s">
        <v>192</v>
      </c>
      <c r="AB264" t="s">
        <v>227</v>
      </c>
      <c r="AC264" t="s">
        <v>228</v>
      </c>
      <c r="AD264" t="s">
        <v>132</v>
      </c>
      <c r="AE264" t="s">
        <v>133</v>
      </c>
      <c r="AF264" t="s">
        <v>100</v>
      </c>
      <c r="AG264" t="s">
        <v>101</v>
      </c>
      <c r="AH264" t="s">
        <v>101</v>
      </c>
      <c r="AI264" t="s">
        <v>134</v>
      </c>
      <c r="AJ264" t="s">
        <v>104</v>
      </c>
      <c r="AM264" t="s">
        <v>403</v>
      </c>
      <c r="AN264" t="s">
        <v>106</v>
      </c>
      <c r="AW264" t="s">
        <v>108</v>
      </c>
      <c r="AZ264" t="s">
        <v>212</v>
      </c>
      <c r="BA264" t="s">
        <v>142</v>
      </c>
      <c r="BB264">
        <v>10</v>
      </c>
      <c r="BC264">
        <v>14</v>
      </c>
      <c r="BE264" t="s">
        <v>139</v>
      </c>
      <c r="BF264">
        <f>(1+(20/24))/2</f>
        <v>0.91666666666666674</v>
      </c>
      <c r="BH264">
        <f>1440/60</f>
        <v>24</v>
      </c>
      <c r="BI264">
        <v>6</v>
      </c>
      <c r="BJ264">
        <v>1</v>
      </c>
      <c r="BK264">
        <v>41</v>
      </c>
      <c r="BS264" t="s">
        <v>644</v>
      </c>
      <c r="BT264" t="s">
        <v>645</v>
      </c>
      <c r="BU264" t="s">
        <v>646</v>
      </c>
      <c r="BV264">
        <v>17.432639999999999</v>
      </c>
      <c r="BW264">
        <v>0.16991110000000001</v>
      </c>
      <c r="BX264">
        <v>6</v>
      </c>
      <c r="BY264">
        <v>16.303260000000002</v>
      </c>
      <c r="BZ264">
        <v>0.36753910000000001</v>
      </c>
      <c r="CA264">
        <v>6</v>
      </c>
      <c r="CB264" t="s">
        <v>215</v>
      </c>
      <c r="CC264" t="s">
        <v>647</v>
      </c>
    </row>
    <row r="265" spans="1:81" x14ac:dyDescent="0.25">
      <c r="A265" t="s">
        <v>81</v>
      </c>
      <c r="B265">
        <v>264</v>
      </c>
      <c r="C265">
        <v>45</v>
      </c>
      <c r="D265">
        <v>10</v>
      </c>
      <c r="E265">
        <v>42</v>
      </c>
      <c r="F265">
        <v>44</v>
      </c>
      <c r="G265">
        <v>141</v>
      </c>
      <c r="H265">
        <v>194</v>
      </c>
      <c r="I265" t="s">
        <v>641</v>
      </c>
      <c r="J265" t="s">
        <v>648</v>
      </c>
      <c r="L265" t="s">
        <v>649</v>
      </c>
      <c r="M265" t="s">
        <v>85</v>
      </c>
      <c r="O265" t="s">
        <v>14</v>
      </c>
      <c r="P265" t="s">
        <v>634</v>
      </c>
      <c r="Q265" t="s">
        <v>635</v>
      </c>
      <c r="R265">
        <v>2005</v>
      </c>
      <c r="S265" t="s">
        <v>636</v>
      </c>
      <c r="U265" t="s">
        <v>637</v>
      </c>
      <c r="V265" t="s">
        <v>638</v>
      </c>
      <c r="W265" t="s">
        <v>91</v>
      </c>
      <c r="X265" t="s">
        <v>126</v>
      </c>
      <c r="Y265" t="s">
        <v>190</v>
      </c>
      <c r="Z265" t="s">
        <v>191</v>
      </c>
      <c r="AA265" t="s">
        <v>192</v>
      </c>
      <c r="AB265" t="s">
        <v>227</v>
      </c>
      <c r="AC265" t="s">
        <v>228</v>
      </c>
      <c r="AD265" t="s">
        <v>132</v>
      </c>
      <c r="AE265" t="s">
        <v>133</v>
      </c>
      <c r="AF265" t="s">
        <v>100</v>
      </c>
      <c r="AG265" t="s">
        <v>101</v>
      </c>
      <c r="AH265" t="s">
        <v>101</v>
      </c>
      <c r="AI265" t="s">
        <v>134</v>
      </c>
      <c r="AJ265" t="s">
        <v>104</v>
      </c>
      <c r="AM265" t="s">
        <v>403</v>
      </c>
      <c r="AN265" t="s">
        <v>106</v>
      </c>
      <c r="AW265" t="s">
        <v>108</v>
      </c>
      <c r="AZ265" t="s">
        <v>212</v>
      </c>
      <c r="BA265" t="s">
        <v>142</v>
      </c>
      <c r="BB265">
        <v>10</v>
      </c>
      <c r="BC265">
        <v>14</v>
      </c>
      <c r="BE265" t="s">
        <v>139</v>
      </c>
      <c r="BF265">
        <f>((336/24)+(240/24))/2</f>
        <v>12</v>
      </c>
      <c r="BH265">
        <f>720/60</f>
        <v>12</v>
      </c>
      <c r="BI265">
        <v>6</v>
      </c>
      <c r="BJ265">
        <v>1</v>
      </c>
      <c r="BK265">
        <v>41</v>
      </c>
      <c r="BS265" t="s">
        <v>644</v>
      </c>
      <c r="BT265" t="s">
        <v>645</v>
      </c>
      <c r="BU265" t="s">
        <v>646</v>
      </c>
      <c r="BV265">
        <v>17.002079999999999</v>
      </c>
      <c r="BW265">
        <v>0.20665269999999999</v>
      </c>
      <c r="BX265">
        <v>6</v>
      </c>
      <c r="BY265">
        <v>21.28783</v>
      </c>
      <c r="BZ265">
        <v>0.72632390000000002</v>
      </c>
      <c r="CA265">
        <v>6</v>
      </c>
      <c r="CB265" t="s">
        <v>215</v>
      </c>
      <c r="CC265" t="s">
        <v>647</v>
      </c>
    </row>
    <row r="266" spans="1:81" x14ac:dyDescent="0.25">
      <c r="A266" t="s">
        <v>81</v>
      </c>
      <c r="B266">
        <v>265</v>
      </c>
      <c r="C266">
        <v>45</v>
      </c>
      <c r="D266">
        <v>10</v>
      </c>
      <c r="E266">
        <v>42</v>
      </c>
      <c r="F266">
        <v>44</v>
      </c>
      <c r="G266">
        <v>142</v>
      </c>
      <c r="H266">
        <v>195</v>
      </c>
      <c r="I266" t="s">
        <v>641</v>
      </c>
      <c r="J266" t="s">
        <v>648</v>
      </c>
      <c r="L266" t="s">
        <v>649</v>
      </c>
      <c r="M266" t="s">
        <v>85</v>
      </c>
      <c r="O266" t="s">
        <v>14</v>
      </c>
      <c r="P266" t="s">
        <v>634</v>
      </c>
      <c r="Q266" t="s">
        <v>635</v>
      </c>
      <c r="R266">
        <v>2005</v>
      </c>
      <c r="S266" t="s">
        <v>636</v>
      </c>
      <c r="U266" t="s">
        <v>637</v>
      </c>
      <c r="V266" t="s">
        <v>638</v>
      </c>
      <c r="W266" t="s">
        <v>91</v>
      </c>
      <c r="X266" t="s">
        <v>126</v>
      </c>
      <c r="Y266" t="s">
        <v>190</v>
      </c>
      <c r="Z266" t="s">
        <v>191</v>
      </c>
      <c r="AA266" t="s">
        <v>192</v>
      </c>
      <c r="AB266" t="s">
        <v>227</v>
      </c>
      <c r="AC266" t="s">
        <v>228</v>
      </c>
      <c r="AD266" t="s">
        <v>132</v>
      </c>
      <c r="AE266" t="s">
        <v>133</v>
      </c>
      <c r="AF266" t="s">
        <v>100</v>
      </c>
      <c r="AG266" t="s">
        <v>101</v>
      </c>
      <c r="AH266" t="s">
        <v>101</v>
      </c>
      <c r="AI266" t="s">
        <v>134</v>
      </c>
      <c r="AJ266" t="s">
        <v>104</v>
      </c>
      <c r="AM266" t="s">
        <v>403</v>
      </c>
      <c r="AN266" t="s">
        <v>106</v>
      </c>
      <c r="AW266" t="s">
        <v>108</v>
      </c>
      <c r="AZ266" t="s">
        <v>212</v>
      </c>
      <c r="BA266" t="s">
        <v>142</v>
      </c>
      <c r="BB266">
        <v>10</v>
      </c>
      <c r="BC266">
        <v>14</v>
      </c>
      <c r="BE266" t="s">
        <v>139</v>
      </c>
      <c r="BF266">
        <f>((336/24)+(240/24))/2</f>
        <v>12</v>
      </c>
      <c r="BH266">
        <f>1440/60</f>
        <v>24</v>
      </c>
      <c r="BI266">
        <v>6</v>
      </c>
      <c r="BJ266">
        <v>1</v>
      </c>
      <c r="BK266">
        <v>41</v>
      </c>
      <c r="BS266" t="s">
        <v>644</v>
      </c>
      <c r="BT266" t="s">
        <v>645</v>
      </c>
      <c r="BU266" t="s">
        <v>646</v>
      </c>
      <c r="BV266">
        <v>15.65569</v>
      </c>
      <c r="BW266">
        <v>0.25647829999999999</v>
      </c>
      <c r="BX266">
        <v>6</v>
      </c>
      <c r="BY266">
        <v>19.76643</v>
      </c>
      <c r="BZ266">
        <v>0.44836490000000001</v>
      </c>
      <c r="CA266">
        <v>6</v>
      </c>
      <c r="CB266" t="s">
        <v>215</v>
      </c>
      <c r="CC266" t="s">
        <v>647</v>
      </c>
    </row>
    <row r="267" spans="1:81" x14ac:dyDescent="0.25">
      <c r="A267" t="s">
        <v>81</v>
      </c>
      <c r="B267">
        <v>266</v>
      </c>
      <c r="C267">
        <v>45</v>
      </c>
      <c r="D267">
        <v>10</v>
      </c>
      <c r="E267">
        <v>44</v>
      </c>
      <c r="F267">
        <v>46</v>
      </c>
      <c r="G267">
        <v>143</v>
      </c>
      <c r="H267">
        <v>196</v>
      </c>
      <c r="I267" t="s">
        <v>641</v>
      </c>
      <c r="J267" t="s">
        <v>650</v>
      </c>
      <c r="L267" t="s">
        <v>651</v>
      </c>
      <c r="M267" t="s">
        <v>85</v>
      </c>
      <c r="O267" t="s">
        <v>14</v>
      </c>
      <c r="P267" t="s">
        <v>634</v>
      </c>
      <c r="Q267" t="s">
        <v>635</v>
      </c>
      <c r="R267">
        <v>2005</v>
      </c>
      <c r="S267" t="s">
        <v>636</v>
      </c>
      <c r="U267" t="s">
        <v>637</v>
      </c>
      <c r="V267" t="s">
        <v>638</v>
      </c>
      <c r="W267" t="s">
        <v>91</v>
      </c>
      <c r="X267" t="s">
        <v>126</v>
      </c>
      <c r="Y267" t="s">
        <v>190</v>
      </c>
      <c r="Z267" t="s">
        <v>191</v>
      </c>
      <c r="AA267" t="s">
        <v>192</v>
      </c>
      <c r="AB267" t="s">
        <v>227</v>
      </c>
      <c r="AC267" t="s">
        <v>228</v>
      </c>
      <c r="AD267" t="s">
        <v>132</v>
      </c>
      <c r="AE267" t="s">
        <v>133</v>
      </c>
      <c r="AF267" t="s">
        <v>100</v>
      </c>
      <c r="AG267" t="s">
        <v>101</v>
      </c>
      <c r="AH267" t="s">
        <v>101</v>
      </c>
      <c r="AI267" t="s">
        <v>134</v>
      </c>
      <c r="AJ267" t="s">
        <v>104</v>
      </c>
      <c r="AM267" t="s">
        <v>403</v>
      </c>
      <c r="AN267" t="s">
        <v>106</v>
      </c>
      <c r="AW267" t="s">
        <v>108</v>
      </c>
      <c r="AZ267" t="s">
        <v>212</v>
      </c>
      <c r="BA267" t="s">
        <v>142</v>
      </c>
      <c r="BB267">
        <v>10</v>
      </c>
      <c r="BC267">
        <v>14</v>
      </c>
      <c r="BE267" t="s">
        <v>139</v>
      </c>
      <c r="BF267">
        <f>(1+(20/24))/2</f>
        <v>0.91666666666666674</v>
      </c>
      <c r="BH267">
        <f>360/60</f>
        <v>6</v>
      </c>
      <c r="BI267">
        <v>6</v>
      </c>
      <c r="BJ267">
        <v>1</v>
      </c>
      <c r="BK267">
        <v>41</v>
      </c>
      <c r="BS267" t="s">
        <v>644</v>
      </c>
      <c r="BT267" t="s">
        <v>645</v>
      </c>
      <c r="BU267" t="s">
        <v>646</v>
      </c>
      <c r="BV267">
        <v>19.86225</v>
      </c>
      <c r="BW267">
        <v>0.87396510000000005</v>
      </c>
      <c r="BX267">
        <v>6</v>
      </c>
      <c r="BY267">
        <v>15.379189999999999</v>
      </c>
      <c r="BZ267">
        <v>0.83359890000000003</v>
      </c>
      <c r="CA267">
        <v>6</v>
      </c>
      <c r="CB267" t="s">
        <v>215</v>
      </c>
      <c r="CC267" t="s">
        <v>647</v>
      </c>
    </row>
    <row r="268" spans="1:81" x14ac:dyDescent="0.25">
      <c r="A268" t="s">
        <v>81</v>
      </c>
      <c r="B268">
        <v>267</v>
      </c>
      <c r="C268">
        <v>45</v>
      </c>
      <c r="D268">
        <v>10</v>
      </c>
      <c r="E268">
        <v>44</v>
      </c>
      <c r="F268">
        <v>46</v>
      </c>
      <c r="G268">
        <v>144</v>
      </c>
      <c r="H268">
        <v>197</v>
      </c>
      <c r="I268" t="s">
        <v>641</v>
      </c>
      <c r="J268" t="s">
        <v>650</v>
      </c>
      <c r="L268" t="s">
        <v>651</v>
      </c>
      <c r="M268" t="s">
        <v>85</v>
      </c>
      <c r="O268" t="s">
        <v>14</v>
      </c>
      <c r="P268" t="s">
        <v>634</v>
      </c>
      <c r="Q268" t="s">
        <v>635</v>
      </c>
      <c r="R268">
        <v>2005</v>
      </c>
      <c r="S268" t="s">
        <v>636</v>
      </c>
      <c r="U268" t="s">
        <v>637</v>
      </c>
      <c r="V268" t="s">
        <v>638</v>
      </c>
      <c r="W268" t="s">
        <v>91</v>
      </c>
      <c r="X268" t="s">
        <v>126</v>
      </c>
      <c r="Y268" t="s">
        <v>190</v>
      </c>
      <c r="Z268" t="s">
        <v>191</v>
      </c>
      <c r="AA268" t="s">
        <v>192</v>
      </c>
      <c r="AB268" t="s">
        <v>227</v>
      </c>
      <c r="AC268" t="s">
        <v>228</v>
      </c>
      <c r="AD268" t="s">
        <v>132</v>
      </c>
      <c r="AE268" t="s">
        <v>133</v>
      </c>
      <c r="AF268" t="s">
        <v>100</v>
      </c>
      <c r="AG268" t="s">
        <v>101</v>
      </c>
      <c r="AH268" t="s">
        <v>101</v>
      </c>
      <c r="AI268" t="s">
        <v>134</v>
      </c>
      <c r="AJ268" t="s">
        <v>104</v>
      </c>
      <c r="AM268" t="s">
        <v>403</v>
      </c>
      <c r="AN268" t="s">
        <v>106</v>
      </c>
      <c r="AW268" t="s">
        <v>108</v>
      </c>
      <c r="AZ268" t="s">
        <v>212</v>
      </c>
      <c r="BA268" t="s">
        <v>142</v>
      </c>
      <c r="BB268">
        <v>10</v>
      </c>
      <c r="BC268">
        <v>14</v>
      </c>
      <c r="BE268" t="s">
        <v>139</v>
      </c>
      <c r="BF268">
        <f>(1+(20/24))/2</f>
        <v>0.91666666666666674</v>
      </c>
      <c r="BH268">
        <f>720/60</f>
        <v>12</v>
      </c>
      <c r="BI268">
        <v>6</v>
      </c>
      <c r="BJ268">
        <v>1</v>
      </c>
      <c r="BK268">
        <v>41</v>
      </c>
      <c r="BS268" t="s">
        <v>644</v>
      </c>
      <c r="BT268" t="s">
        <v>645</v>
      </c>
      <c r="BU268" t="s">
        <v>646</v>
      </c>
      <c r="BV268">
        <v>17.400649999999999</v>
      </c>
      <c r="BW268">
        <v>0.2906861</v>
      </c>
      <c r="BX268">
        <v>6</v>
      </c>
      <c r="BY268">
        <v>15.963950000000001</v>
      </c>
      <c r="BZ268">
        <v>0.54402459999999997</v>
      </c>
      <c r="CA268">
        <v>6</v>
      </c>
      <c r="CB268" t="s">
        <v>215</v>
      </c>
      <c r="CC268" t="s">
        <v>647</v>
      </c>
    </row>
    <row r="269" spans="1:81" x14ac:dyDescent="0.25">
      <c r="A269" t="s">
        <v>81</v>
      </c>
      <c r="B269">
        <v>268</v>
      </c>
      <c r="C269">
        <v>45</v>
      </c>
      <c r="D269">
        <v>10</v>
      </c>
      <c r="E269">
        <v>44</v>
      </c>
      <c r="F269">
        <v>46</v>
      </c>
      <c r="G269">
        <v>145</v>
      </c>
      <c r="H269">
        <v>198</v>
      </c>
      <c r="I269" t="s">
        <v>641</v>
      </c>
      <c r="J269" t="s">
        <v>652</v>
      </c>
      <c r="L269" t="s">
        <v>653</v>
      </c>
      <c r="M269" t="s">
        <v>85</v>
      </c>
      <c r="O269" t="s">
        <v>14</v>
      </c>
      <c r="P269" t="s">
        <v>634</v>
      </c>
      <c r="Q269" t="s">
        <v>635</v>
      </c>
      <c r="R269">
        <v>2005</v>
      </c>
      <c r="S269" t="s">
        <v>636</v>
      </c>
      <c r="U269" t="s">
        <v>637</v>
      </c>
      <c r="V269" t="s">
        <v>638</v>
      </c>
      <c r="W269" t="s">
        <v>91</v>
      </c>
      <c r="X269" t="s">
        <v>126</v>
      </c>
      <c r="Y269" t="s">
        <v>190</v>
      </c>
      <c r="Z269" t="s">
        <v>191</v>
      </c>
      <c r="AA269" t="s">
        <v>192</v>
      </c>
      <c r="AB269" t="s">
        <v>227</v>
      </c>
      <c r="AC269" t="s">
        <v>228</v>
      </c>
      <c r="AD269" t="s">
        <v>132</v>
      </c>
      <c r="AE269" t="s">
        <v>133</v>
      </c>
      <c r="AF269" t="s">
        <v>100</v>
      </c>
      <c r="AG269" t="s">
        <v>101</v>
      </c>
      <c r="AH269" t="s">
        <v>101</v>
      </c>
      <c r="AI269" t="s">
        <v>134</v>
      </c>
      <c r="AJ269" t="s">
        <v>104</v>
      </c>
      <c r="AM269" t="s">
        <v>403</v>
      </c>
      <c r="AN269" t="s">
        <v>106</v>
      </c>
      <c r="AW269" t="s">
        <v>108</v>
      </c>
      <c r="AZ269" t="s">
        <v>212</v>
      </c>
      <c r="BA269" t="s">
        <v>142</v>
      </c>
      <c r="BB269">
        <v>10</v>
      </c>
      <c r="BC269">
        <v>14</v>
      </c>
      <c r="BE269" t="s">
        <v>139</v>
      </c>
      <c r="BF269">
        <f>((336/24)+(240/24))/2</f>
        <v>12</v>
      </c>
      <c r="BH269">
        <f>720/60</f>
        <v>12</v>
      </c>
      <c r="BI269">
        <v>6</v>
      </c>
      <c r="BJ269">
        <v>1</v>
      </c>
      <c r="BK269">
        <v>41</v>
      </c>
      <c r="BS269" t="s">
        <v>644</v>
      </c>
      <c r="BT269" t="s">
        <v>645</v>
      </c>
      <c r="BU269" t="s">
        <v>646</v>
      </c>
      <c r="BV269">
        <v>16.41086</v>
      </c>
      <c r="BW269">
        <v>0.21750230000000001</v>
      </c>
      <c r="BX269">
        <v>6</v>
      </c>
      <c r="BY269">
        <v>18.875070000000001</v>
      </c>
      <c r="BZ269">
        <v>0.261077</v>
      </c>
      <c r="CA269">
        <v>6</v>
      </c>
      <c r="CB269" t="s">
        <v>215</v>
      </c>
      <c r="CC269" t="s">
        <v>647</v>
      </c>
    </row>
    <row r="270" spans="1:81" x14ac:dyDescent="0.25">
      <c r="A270" t="s">
        <v>81</v>
      </c>
      <c r="B270">
        <v>269</v>
      </c>
      <c r="C270">
        <v>45</v>
      </c>
      <c r="D270">
        <v>10</v>
      </c>
      <c r="E270">
        <v>44</v>
      </c>
      <c r="F270">
        <v>46</v>
      </c>
      <c r="G270">
        <v>146</v>
      </c>
      <c r="H270">
        <v>199</v>
      </c>
      <c r="I270" t="s">
        <v>641</v>
      </c>
      <c r="J270" t="s">
        <v>652</v>
      </c>
      <c r="L270" t="s">
        <v>653</v>
      </c>
      <c r="M270" t="s">
        <v>85</v>
      </c>
      <c r="O270" t="s">
        <v>14</v>
      </c>
      <c r="P270" t="s">
        <v>634</v>
      </c>
      <c r="Q270" t="s">
        <v>635</v>
      </c>
      <c r="R270">
        <v>2005</v>
      </c>
      <c r="S270" t="s">
        <v>636</v>
      </c>
      <c r="U270" t="s">
        <v>637</v>
      </c>
      <c r="V270" t="s">
        <v>638</v>
      </c>
      <c r="W270" t="s">
        <v>91</v>
      </c>
      <c r="X270" t="s">
        <v>126</v>
      </c>
      <c r="Y270" t="s">
        <v>190</v>
      </c>
      <c r="Z270" t="s">
        <v>191</v>
      </c>
      <c r="AA270" t="s">
        <v>192</v>
      </c>
      <c r="AB270" t="s">
        <v>227</v>
      </c>
      <c r="AC270" t="s">
        <v>228</v>
      </c>
      <c r="AD270" t="s">
        <v>132</v>
      </c>
      <c r="AE270" t="s">
        <v>133</v>
      </c>
      <c r="AF270" t="s">
        <v>100</v>
      </c>
      <c r="AG270" t="s">
        <v>101</v>
      </c>
      <c r="AH270" t="s">
        <v>101</v>
      </c>
      <c r="AI270" t="s">
        <v>134</v>
      </c>
      <c r="AJ270" t="s">
        <v>104</v>
      </c>
      <c r="AM270" t="s">
        <v>403</v>
      </c>
      <c r="AN270" t="s">
        <v>106</v>
      </c>
      <c r="AW270" t="s">
        <v>108</v>
      </c>
      <c r="AZ270" t="s">
        <v>212</v>
      </c>
      <c r="BA270" t="s">
        <v>142</v>
      </c>
      <c r="BB270">
        <v>10</v>
      </c>
      <c r="BC270">
        <v>14</v>
      </c>
      <c r="BE270" t="s">
        <v>139</v>
      </c>
      <c r="BF270">
        <f>((336/24)+(240/24))/2</f>
        <v>12</v>
      </c>
      <c r="BH270">
        <f>1440/60</f>
        <v>24</v>
      </c>
      <c r="BI270">
        <v>6</v>
      </c>
      <c r="BJ270">
        <v>1</v>
      </c>
      <c r="BK270">
        <v>41</v>
      </c>
      <c r="BS270" t="s">
        <v>644</v>
      </c>
      <c r="BT270" t="s">
        <v>645</v>
      </c>
      <c r="BU270" t="s">
        <v>646</v>
      </c>
      <c r="BV270">
        <v>14.187279999999999</v>
      </c>
      <c r="BW270">
        <v>0.3192006</v>
      </c>
      <c r="BX270">
        <v>6</v>
      </c>
      <c r="BY270">
        <v>17.954070000000002</v>
      </c>
      <c r="BZ270">
        <v>0.2099501</v>
      </c>
      <c r="CA270">
        <v>6</v>
      </c>
      <c r="CB270" t="s">
        <v>215</v>
      </c>
      <c r="CC270" t="s">
        <v>647</v>
      </c>
    </row>
    <row r="271" spans="1:81" x14ac:dyDescent="0.25">
      <c r="A271" t="s">
        <v>81</v>
      </c>
      <c r="B271">
        <v>270</v>
      </c>
      <c r="C271">
        <v>46</v>
      </c>
      <c r="D271">
        <v>44</v>
      </c>
      <c r="E271">
        <v>45</v>
      </c>
      <c r="F271">
        <v>47</v>
      </c>
      <c r="G271">
        <v>147</v>
      </c>
      <c r="H271">
        <v>200</v>
      </c>
      <c r="I271" t="s">
        <v>654</v>
      </c>
      <c r="J271" t="s">
        <v>184</v>
      </c>
      <c r="L271" t="s">
        <v>655</v>
      </c>
      <c r="M271" t="s">
        <v>85</v>
      </c>
      <c r="O271" t="s">
        <v>14</v>
      </c>
      <c r="P271" t="s">
        <v>656</v>
      </c>
      <c r="Q271" t="s">
        <v>657</v>
      </c>
      <c r="R271">
        <v>2014</v>
      </c>
      <c r="S271" t="s">
        <v>289</v>
      </c>
      <c r="U271" t="s">
        <v>658</v>
      </c>
      <c r="V271" t="s">
        <v>659</v>
      </c>
      <c r="W271" t="s">
        <v>91</v>
      </c>
      <c r="X271" t="s">
        <v>126</v>
      </c>
      <c r="Y271" t="s">
        <v>190</v>
      </c>
      <c r="Z271" t="s">
        <v>191</v>
      </c>
      <c r="AA271" t="s">
        <v>496</v>
      </c>
      <c r="AB271" t="s">
        <v>660</v>
      </c>
      <c r="AC271" t="s">
        <v>661</v>
      </c>
      <c r="AD271" t="s">
        <v>132</v>
      </c>
      <c r="AE271" t="s">
        <v>133</v>
      </c>
      <c r="AF271" t="s">
        <v>100</v>
      </c>
      <c r="AG271" t="s">
        <v>102</v>
      </c>
      <c r="AH271" t="s">
        <v>102</v>
      </c>
      <c r="AI271" t="s">
        <v>134</v>
      </c>
      <c r="AJ271" t="s">
        <v>135</v>
      </c>
      <c r="AM271" t="s">
        <v>136</v>
      </c>
      <c r="AN271" t="s">
        <v>106</v>
      </c>
      <c r="AO271">
        <v>48.433333333299998</v>
      </c>
      <c r="AP271">
        <v>-90.716666666699993</v>
      </c>
      <c r="AQ271">
        <v>476</v>
      </c>
      <c r="AS271">
        <v>2009</v>
      </c>
      <c r="AT271">
        <f>((16.9+16.2)/2)*10</f>
        <v>165.49999999999997</v>
      </c>
      <c r="AU271">
        <f>(58.6+53)/2</f>
        <v>55.8</v>
      </c>
      <c r="AV271">
        <f t="shared" ref="AV271:AV282" si="12">(365*2)+28</f>
        <v>758</v>
      </c>
      <c r="AW271" t="s">
        <v>108</v>
      </c>
      <c r="AX271">
        <v>8</v>
      </c>
      <c r="AY271" t="s">
        <v>134</v>
      </c>
      <c r="AZ271" t="s">
        <v>109</v>
      </c>
      <c r="BA271" t="s">
        <v>138</v>
      </c>
      <c r="BB271">
        <v>8.75</v>
      </c>
      <c r="BC271">
        <f>(11.02+10.87)/2</f>
        <v>10.945</v>
      </c>
      <c r="BE271" t="s">
        <v>139</v>
      </c>
      <c r="BF271">
        <f t="shared" ref="BF271:BF282" si="13">4*7</f>
        <v>28</v>
      </c>
      <c r="BG271">
        <v>0.17</v>
      </c>
      <c r="BS271" t="s">
        <v>662</v>
      </c>
      <c r="BU271" t="s">
        <v>663</v>
      </c>
      <c r="BV271">
        <v>26.00741</v>
      </c>
      <c r="BW271">
        <v>0.39821269999999998</v>
      </c>
      <c r="BX271">
        <v>10</v>
      </c>
      <c r="BY271">
        <v>26.162960000000002</v>
      </c>
      <c r="BZ271">
        <v>0.37478850000000002</v>
      </c>
      <c r="CA271">
        <v>10</v>
      </c>
      <c r="CB271" t="s">
        <v>113</v>
      </c>
      <c r="CC271" t="s">
        <v>451</v>
      </c>
    </row>
    <row r="272" spans="1:81" x14ac:dyDescent="0.25">
      <c r="A272" t="s">
        <v>81</v>
      </c>
      <c r="B272">
        <v>271</v>
      </c>
      <c r="C272">
        <v>46</v>
      </c>
      <c r="D272">
        <v>44</v>
      </c>
      <c r="E272">
        <v>45</v>
      </c>
      <c r="F272">
        <v>47</v>
      </c>
      <c r="G272">
        <v>147</v>
      </c>
      <c r="H272">
        <v>201</v>
      </c>
      <c r="I272" t="s">
        <v>654</v>
      </c>
      <c r="J272" t="s">
        <v>184</v>
      </c>
      <c r="L272" t="s">
        <v>655</v>
      </c>
      <c r="M272" t="s">
        <v>85</v>
      </c>
      <c r="O272" t="s">
        <v>14</v>
      </c>
      <c r="P272" t="s">
        <v>656</v>
      </c>
      <c r="Q272" t="s">
        <v>657</v>
      </c>
      <c r="R272">
        <v>2014</v>
      </c>
      <c r="S272" t="s">
        <v>289</v>
      </c>
      <c r="U272" t="s">
        <v>658</v>
      </c>
      <c r="V272" t="s">
        <v>659</v>
      </c>
      <c r="W272" t="s">
        <v>91</v>
      </c>
      <c r="X272" t="s">
        <v>126</v>
      </c>
      <c r="Y272" t="s">
        <v>190</v>
      </c>
      <c r="Z272" t="s">
        <v>191</v>
      </c>
      <c r="AA272" t="s">
        <v>496</v>
      </c>
      <c r="AB272" t="s">
        <v>660</v>
      </c>
      <c r="AC272" t="s">
        <v>661</v>
      </c>
      <c r="AD272" t="s">
        <v>132</v>
      </c>
      <c r="AE272" t="s">
        <v>133</v>
      </c>
      <c r="AF272" t="s">
        <v>100</v>
      </c>
      <c r="AG272" t="s">
        <v>102</v>
      </c>
      <c r="AH272" t="s">
        <v>102</v>
      </c>
      <c r="AI272" t="s">
        <v>134</v>
      </c>
      <c r="AJ272" t="s">
        <v>135</v>
      </c>
      <c r="AM272" t="s">
        <v>136</v>
      </c>
      <c r="AN272" t="s">
        <v>106</v>
      </c>
      <c r="AO272">
        <v>48.433333333299998</v>
      </c>
      <c r="AP272">
        <v>-90.716666666699993</v>
      </c>
      <c r="AQ272">
        <v>476</v>
      </c>
      <c r="AS272">
        <v>2009</v>
      </c>
      <c r="AT272">
        <f>((16.2+16.1)/2)*10</f>
        <v>161.5</v>
      </c>
      <c r="AU272">
        <f>(53+52.2)/2</f>
        <v>52.6</v>
      </c>
      <c r="AV272">
        <f t="shared" si="12"/>
        <v>758</v>
      </c>
      <c r="AW272" t="s">
        <v>108</v>
      </c>
      <c r="AX272">
        <v>8</v>
      </c>
      <c r="AY272" t="s">
        <v>103</v>
      </c>
      <c r="AZ272" t="s">
        <v>109</v>
      </c>
      <c r="BA272" t="s">
        <v>138</v>
      </c>
      <c r="BB272">
        <f>(11.02+10.87)/2</f>
        <v>10.945</v>
      </c>
      <c r="BC272">
        <f>(15.01+15.23)/2</f>
        <v>15.120000000000001</v>
      </c>
      <c r="BE272" t="s">
        <v>139</v>
      </c>
      <c r="BF272">
        <f t="shared" si="13"/>
        <v>28</v>
      </c>
      <c r="BG272">
        <v>0.17</v>
      </c>
      <c r="BS272" t="s">
        <v>662</v>
      </c>
      <c r="BU272" t="s">
        <v>663</v>
      </c>
      <c r="BV272">
        <v>26.162960000000002</v>
      </c>
      <c r="BW272">
        <v>0.37478850000000002</v>
      </c>
      <c r="BX272">
        <v>10</v>
      </c>
      <c r="BY272">
        <v>28.1037</v>
      </c>
      <c r="BZ272">
        <v>0.37478850000000002</v>
      </c>
      <c r="CA272">
        <v>10</v>
      </c>
      <c r="CB272" t="s">
        <v>113</v>
      </c>
      <c r="CC272" t="s">
        <v>451</v>
      </c>
    </row>
    <row r="273" spans="1:81" x14ac:dyDescent="0.25">
      <c r="A273" t="s">
        <v>81</v>
      </c>
      <c r="B273">
        <v>272</v>
      </c>
      <c r="C273">
        <v>46</v>
      </c>
      <c r="D273">
        <v>44</v>
      </c>
      <c r="E273">
        <v>45</v>
      </c>
      <c r="F273">
        <v>47</v>
      </c>
      <c r="G273">
        <v>147</v>
      </c>
      <c r="H273">
        <v>202</v>
      </c>
      <c r="I273" t="s">
        <v>654</v>
      </c>
      <c r="J273" t="s">
        <v>184</v>
      </c>
      <c r="L273" t="s">
        <v>655</v>
      </c>
      <c r="M273" t="s">
        <v>85</v>
      </c>
      <c r="O273" t="s">
        <v>14</v>
      </c>
      <c r="P273" t="s">
        <v>656</v>
      </c>
      <c r="Q273" t="s">
        <v>657</v>
      </c>
      <c r="R273">
        <v>2014</v>
      </c>
      <c r="S273" t="s">
        <v>289</v>
      </c>
      <c r="U273" t="s">
        <v>658</v>
      </c>
      <c r="V273" t="s">
        <v>659</v>
      </c>
      <c r="W273" t="s">
        <v>91</v>
      </c>
      <c r="X273" t="s">
        <v>126</v>
      </c>
      <c r="Y273" t="s">
        <v>190</v>
      </c>
      <c r="Z273" t="s">
        <v>191</v>
      </c>
      <c r="AA273" t="s">
        <v>496</v>
      </c>
      <c r="AB273" t="s">
        <v>660</v>
      </c>
      <c r="AC273" t="s">
        <v>661</v>
      </c>
      <c r="AD273" t="s">
        <v>132</v>
      </c>
      <c r="AE273" t="s">
        <v>133</v>
      </c>
      <c r="AF273" t="s">
        <v>100</v>
      </c>
      <c r="AG273" t="s">
        <v>102</v>
      </c>
      <c r="AH273" t="s">
        <v>102</v>
      </c>
      <c r="AI273" t="s">
        <v>134</v>
      </c>
      <c r="AJ273" t="s">
        <v>135</v>
      </c>
      <c r="AM273" t="s">
        <v>136</v>
      </c>
      <c r="AN273" t="s">
        <v>106</v>
      </c>
      <c r="AO273">
        <v>48.433333333299998</v>
      </c>
      <c r="AP273">
        <v>-90.716666666699993</v>
      </c>
      <c r="AQ273">
        <v>476</v>
      </c>
      <c r="AS273">
        <v>2009</v>
      </c>
      <c r="AT273">
        <f>((15.6+16.1)/2)*10</f>
        <v>158.5</v>
      </c>
      <c r="AU273">
        <f>(52.2+47)/2</f>
        <v>49.6</v>
      </c>
      <c r="AV273">
        <f t="shared" si="12"/>
        <v>758</v>
      </c>
      <c r="AW273" t="s">
        <v>108</v>
      </c>
      <c r="AX273">
        <v>8</v>
      </c>
      <c r="AY273" t="s">
        <v>103</v>
      </c>
      <c r="AZ273" t="s">
        <v>109</v>
      </c>
      <c r="BA273" t="s">
        <v>138</v>
      </c>
      <c r="BB273">
        <f>(15.01+15.23)/2</f>
        <v>15.120000000000001</v>
      </c>
      <c r="BC273">
        <f>(18.68+19.29)/2</f>
        <v>18.984999999999999</v>
      </c>
      <c r="BE273" t="s">
        <v>139</v>
      </c>
      <c r="BF273">
        <f t="shared" si="13"/>
        <v>28</v>
      </c>
      <c r="BG273">
        <v>0.17</v>
      </c>
      <c r="BS273" t="s">
        <v>662</v>
      </c>
      <c r="BU273" t="s">
        <v>663</v>
      </c>
      <c r="BV273">
        <v>28.1037</v>
      </c>
      <c r="BW273">
        <v>0.37478850000000002</v>
      </c>
      <c r="BX273">
        <v>10</v>
      </c>
      <c r="BY273">
        <v>28.8963</v>
      </c>
      <c r="BZ273">
        <v>0.37478850000000002</v>
      </c>
      <c r="CA273">
        <v>10</v>
      </c>
      <c r="CB273" t="s">
        <v>113</v>
      </c>
      <c r="CC273" t="s">
        <v>451</v>
      </c>
    </row>
    <row r="274" spans="1:81" x14ac:dyDescent="0.25">
      <c r="A274" t="s">
        <v>81</v>
      </c>
      <c r="B274">
        <v>273</v>
      </c>
      <c r="C274">
        <v>46</v>
      </c>
      <c r="D274">
        <v>44</v>
      </c>
      <c r="E274">
        <v>46</v>
      </c>
      <c r="F274">
        <v>48</v>
      </c>
      <c r="G274">
        <v>148</v>
      </c>
      <c r="H274">
        <v>203</v>
      </c>
      <c r="I274" t="s">
        <v>654</v>
      </c>
      <c r="J274" t="s">
        <v>184</v>
      </c>
      <c r="L274" t="s">
        <v>655</v>
      </c>
      <c r="M274" t="s">
        <v>85</v>
      </c>
      <c r="O274" t="s">
        <v>14</v>
      </c>
      <c r="P274" t="s">
        <v>656</v>
      </c>
      <c r="Q274" t="s">
        <v>657</v>
      </c>
      <c r="R274">
        <v>2014</v>
      </c>
      <c r="S274" t="s">
        <v>289</v>
      </c>
      <c r="U274" t="s">
        <v>658</v>
      </c>
      <c r="V274" t="s">
        <v>659</v>
      </c>
      <c r="W274" t="s">
        <v>91</v>
      </c>
      <c r="X274" t="s">
        <v>126</v>
      </c>
      <c r="Y274" t="s">
        <v>190</v>
      </c>
      <c r="Z274" t="s">
        <v>191</v>
      </c>
      <c r="AA274" t="s">
        <v>496</v>
      </c>
      <c r="AB274" t="s">
        <v>660</v>
      </c>
      <c r="AC274" t="s">
        <v>661</v>
      </c>
      <c r="AD274" t="s">
        <v>132</v>
      </c>
      <c r="AE274" t="s">
        <v>133</v>
      </c>
      <c r="AF274" t="s">
        <v>100</v>
      </c>
      <c r="AG274" t="s">
        <v>102</v>
      </c>
      <c r="AH274" t="s">
        <v>102</v>
      </c>
      <c r="AI274" t="s">
        <v>134</v>
      </c>
      <c r="AJ274" t="s">
        <v>135</v>
      </c>
      <c r="AM274" t="s">
        <v>136</v>
      </c>
      <c r="AN274" t="s">
        <v>106</v>
      </c>
      <c r="AO274">
        <v>45.464166666700002</v>
      </c>
      <c r="AP274">
        <v>-78.501944444399996</v>
      </c>
      <c r="AQ274">
        <v>434</v>
      </c>
      <c r="AS274">
        <v>2009</v>
      </c>
      <c r="AT274">
        <f>((16.3+16.4)/2)*10</f>
        <v>163.5</v>
      </c>
      <c r="AU274">
        <f>(52+53)/2</f>
        <v>52.5</v>
      </c>
      <c r="AV274">
        <f t="shared" si="12"/>
        <v>758</v>
      </c>
      <c r="AW274" t="s">
        <v>108</v>
      </c>
      <c r="AX274">
        <v>8</v>
      </c>
      <c r="AY274" t="s">
        <v>134</v>
      </c>
      <c r="AZ274" t="s">
        <v>109</v>
      </c>
      <c r="BA274" t="s">
        <v>138</v>
      </c>
      <c r="BB274">
        <v>8.75</v>
      </c>
      <c r="BC274">
        <f>(11.02+10.87)/2</f>
        <v>10.945</v>
      </c>
      <c r="BE274" t="s">
        <v>139</v>
      </c>
      <c r="BF274">
        <f t="shared" si="13"/>
        <v>28</v>
      </c>
      <c r="BG274">
        <v>0.17</v>
      </c>
      <c r="BS274" t="s">
        <v>662</v>
      </c>
      <c r="BU274" t="s">
        <v>664</v>
      </c>
      <c r="BV274">
        <v>26.133330000000001</v>
      </c>
      <c r="BW274">
        <v>0.37478850000000002</v>
      </c>
      <c r="BX274">
        <v>10</v>
      </c>
      <c r="BY274">
        <v>26.585190000000001</v>
      </c>
      <c r="BZ274">
        <v>0.37478850000000002</v>
      </c>
      <c r="CA274">
        <v>10</v>
      </c>
      <c r="CB274" t="s">
        <v>113</v>
      </c>
      <c r="CC274" t="s">
        <v>451</v>
      </c>
    </row>
    <row r="275" spans="1:81" x14ac:dyDescent="0.25">
      <c r="A275" t="s">
        <v>81</v>
      </c>
      <c r="B275">
        <v>274</v>
      </c>
      <c r="C275">
        <v>46</v>
      </c>
      <c r="D275">
        <v>44</v>
      </c>
      <c r="E275">
        <v>46</v>
      </c>
      <c r="F275">
        <v>48</v>
      </c>
      <c r="G275">
        <v>148</v>
      </c>
      <c r="H275">
        <v>204</v>
      </c>
      <c r="I275" t="s">
        <v>654</v>
      </c>
      <c r="J275" t="s">
        <v>184</v>
      </c>
      <c r="L275" t="s">
        <v>655</v>
      </c>
      <c r="M275" t="s">
        <v>85</v>
      </c>
      <c r="O275" t="s">
        <v>14</v>
      </c>
      <c r="P275" t="s">
        <v>656</v>
      </c>
      <c r="Q275" t="s">
        <v>657</v>
      </c>
      <c r="R275">
        <v>2014</v>
      </c>
      <c r="S275" t="s">
        <v>289</v>
      </c>
      <c r="U275" t="s">
        <v>658</v>
      </c>
      <c r="V275" t="s">
        <v>659</v>
      </c>
      <c r="W275" t="s">
        <v>91</v>
      </c>
      <c r="X275" t="s">
        <v>126</v>
      </c>
      <c r="Y275" t="s">
        <v>190</v>
      </c>
      <c r="Z275" t="s">
        <v>191</v>
      </c>
      <c r="AA275" t="s">
        <v>496</v>
      </c>
      <c r="AB275" t="s">
        <v>660</v>
      </c>
      <c r="AC275" t="s">
        <v>661</v>
      </c>
      <c r="AD275" t="s">
        <v>132</v>
      </c>
      <c r="AE275" t="s">
        <v>133</v>
      </c>
      <c r="AF275" t="s">
        <v>100</v>
      </c>
      <c r="AG275" t="s">
        <v>102</v>
      </c>
      <c r="AH275" t="s">
        <v>102</v>
      </c>
      <c r="AI275" t="s">
        <v>134</v>
      </c>
      <c r="AJ275" t="s">
        <v>135</v>
      </c>
      <c r="AM275" t="s">
        <v>136</v>
      </c>
      <c r="AN275" t="s">
        <v>106</v>
      </c>
      <c r="AO275">
        <v>45.464166666700002</v>
      </c>
      <c r="AP275">
        <v>-78.501944444399996</v>
      </c>
      <c r="AQ275">
        <v>434</v>
      </c>
      <c r="AS275">
        <v>2009</v>
      </c>
      <c r="AT275">
        <f>((16.4+14.1)/2)*10</f>
        <v>152.5</v>
      </c>
      <c r="AU275">
        <f>(52.9+33.7)/2</f>
        <v>43.3</v>
      </c>
      <c r="AV275">
        <f t="shared" si="12"/>
        <v>758</v>
      </c>
      <c r="AW275" t="s">
        <v>108</v>
      </c>
      <c r="AX275">
        <v>8</v>
      </c>
      <c r="AY275" t="s">
        <v>103</v>
      </c>
      <c r="AZ275" t="s">
        <v>109</v>
      </c>
      <c r="BA275" t="s">
        <v>138</v>
      </c>
      <c r="BB275">
        <f>(11.02+10.87)/2</f>
        <v>10.945</v>
      </c>
      <c r="BC275">
        <f>(15.01+15.23)/2</f>
        <v>15.120000000000001</v>
      </c>
      <c r="BE275" t="s">
        <v>139</v>
      </c>
      <c r="BF275">
        <f t="shared" si="13"/>
        <v>28</v>
      </c>
      <c r="BG275">
        <v>0.17</v>
      </c>
      <c r="BS275" t="s">
        <v>662</v>
      </c>
      <c r="BU275" t="s">
        <v>664</v>
      </c>
      <c r="BV275">
        <v>26.585190000000001</v>
      </c>
      <c r="BW275">
        <v>0.37478850000000002</v>
      </c>
      <c r="BX275">
        <v>10</v>
      </c>
      <c r="BY275">
        <v>28.281479999999998</v>
      </c>
      <c r="BZ275">
        <v>0.37478850000000002</v>
      </c>
      <c r="CA275">
        <v>10</v>
      </c>
      <c r="CB275" t="s">
        <v>113</v>
      </c>
      <c r="CC275" t="s">
        <v>451</v>
      </c>
    </row>
    <row r="276" spans="1:81" x14ac:dyDescent="0.25">
      <c r="A276" t="s">
        <v>81</v>
      </c>
      <c r="B276">
        <v>275</v>
      </c>
      <c r="C276">
        <v>46</v>
      </c>
      <c r="D276">
        <v>44</v>
      </c>
      <c r="E276">
        <v>46</v>
      </c>
      <c r="F276">
        <v>48</v>
      </c>
      <c r="G276">
        <v>148</v>
      </c>
      <c r="H276">
        <v>205</v>
      </c>
      <c r="I276" t="s">
        <v>654</v>
      </c>
      <c r="J276" t="s">
        <v>184</v>
      </c>
      <c r="L276" t="s">
        <v>655</v>
      </c>
      <c r="M276" t="s">
        <v>85</v>
      </c>
      <c r="O276" t="s">
        <v>14</v>
      </c>
      <c r="P276" t="s">
        <v>656</v>
      </c>
      <c r="Q276" t="s">
        <v>657</v>
      </c>
      <c r="R276">
        <v>2014</v>
      </c>
      <c r="S276" t="s">
        <v>289</v>
      </c>
      <c r="U276" t="s">
        <v>658</v>
      </c>
      <c r="V276" t="s">
        <v>659</v>
      </c>
      <c r="W276" t="s">
        <v>91</v>
      </c>
      <c r="X276" t="s">
        <v>126</v>
      </c>
      <c r="Y276" t="s">
        <v>190</v>
      </c>
      <c r="Z276" t="s">
        <v>191</v>
      </c>
      <c r="AA276" t="s">
        <v>496</v>
      </c>
      <c r="AB276" t="s">
        <v>660</v>
      </c>
      <c r="AC276" t="s">
        <v>661</v>
      </c>
      <c r="AD276" t="s">
        <v>132</v>
      </c>
      <c r="AE276" t="s">
        <v>133</v>
      </c>
      <c r="AF276" t="s">
        <v>100</v>
      </c>
      <c r="AG276" t="s">
        <v>102</v>
      </c>
      <c r="AH276" t="s">
        <v>102</v>
      </c>
      <c r="AI276" t="s">
        <v>134</v>
      </c>
      <c r="AJ276" t="s">
        <v>135</v>
      </c>
      <c r="AM276" t="s">
        <v>136</v>
      </c>
      <c r="AN276" t="s">
        <v>106</v>
      </c>
      <c r="AO276">
        <v>45.464166666700002</v>
      </c>
      <c r="AP276">
        <v>-78.501944444399996</v>
      </c>
      <c r="AQ276">
        <v>434</v>
      </c>
      <c r="AS276">
        <v>2009</v>
      </c>
      <c r="AT276">
        <f>((15.9+14.1)/2)*10</f>
        <v>150</v>
      </c>
      <c r="AU276">
        <f>(33.7+44.1)/2</f>
        <v>38.900000000000006</v>
      </c>
      <c r="AV276">
        <f t="shared" si="12"/>
        <v>758</v>
      </c>
      <c r="AW276" t="s">
        <v>108</v>
      </c>
      <c r="AX276">
        <v>8</v>
      </c>
      <c r="AY276" t="s">
        <v>103</v>
      </c>
      <c r="AZ276" t="s">
        <v>109</v>
      </c>
      <c r="BA276" t="s">
        <v>138</v>
      </c>
      <c r="BB276">
        <f>(15.01+15.23)/2</f>
        <v>15.120000000000001</v>
      </c>
      <c r="BC276">
        <f>(18.68+19.29)/2</f>
        <v>18.984999999999999</v>
      </c>
      <c r="BE276" t="s">
        <v>139</v>
      </c>
      <c r="BF276">
        <f t="shared" si="13"/>
        <v>28</v>
      </c>
      <c r="BG276">
        <v>0.17</v>
      </c>
      <c r="BS276" t="s">
        <v>662</v>
      </c>
      <c r="BU276" t="s">
        <v>664</v>
      </c>
      <c r="BV276">
        <v>28.281479999999998</v>
      </c>
      <c r="BW276">
        <v>0.37478850000000002</v>
      </c>
      <c r="BX276">
        <v>10</v>
      </c>
      <c r="BY276">
        <v>28.65926</v>
      </c>
      <c r="BZ276">
        <v>0.35136420000000002</v>
      </c>
      <c r="CA276">
        <v>10</v>
      </c>
      <c r="CB276" t="s">
        <v>113</v>
      </c>
      <c r="CC276" t="s">
        <v>451</v>
      </c>
    </row>
    <row r="277" spans="1:81" x14ac:dyDescent="0.25">
      <c r="A277" t="s">
        <v>81</v>
      </c>
      <c r="B277">
        <v>276</v>
      </c>
      <c r="C277">
        <v>46</v>
      </c>
      <c r="D277">
        <v>44</v>
      </c>
      <c r="E277">
        <v>47</v>
      </c>
      <c r="F277">
        <v>49</v>
      </c>
      <c r="G277">
        <v>149</v>
      </c>
      <c r="H277">
        <v>206</v>
      </c>
      <c r="I277" t="s">
        <v>654</v>
      </c>
      <c r="J277" t="s">
        <v>184</v>
      </c>
      <c r="L277" t="s">
        <v>655</v>
      </c>
      <c r="M277" t="s">
        <v>85</v>
      </c>
      <c r="O277" t="s">
        <v>14</v>
      </c>
      <c r="P277" t="s">
        <v>656</v>
      </c>
      <c r="Q277" t="s">
        <v>657</v>
      </c>
      <c r="R277">
        <v>2014</v>
      </c>
      <c r="S277" t="s">
        <v>289</v>
      </c>
      <c r="U277" t="s">
        <v>658</v>
      </c>
      <c r="V277" t="s">
        <v>659</v>
      </c>
      <c r="W277" t="s">
        <v>91</v>
      </c>
      <c r="X277" t="s">
        <v>126</v>
      </c>
      <c r="Y277" t="s">
        <v>190</v>
      </c>
      <c r="Z277" t="s">
        <v>191</v>
      </c>
      <c r="AA277" t="s">
        <v>496</v>
      </c>
      <c r="AB277" t="s">
        <v>660</v>
      </c>
      <c r="AC277" t="s">
        <v>661</v>
      </c>
      <c r="AD277" t="s">
        <v>132</v>
      </c>
      <c r="AE277" t="s">
        <v>133</v>
      </c>
      <c r="AF277" t="s">
        <v>100</v>
      </c>
      <c r="AG277" t="s">
        <v>102</v>
      </c>
      <c r="AH277" t="s">
        <v>102</v>
      </c>
      <c r="AI277" t="s">
        <v>134</v>
      </c>
      <c r="AJ277" t="s">
        <v>135</v>
      </c>
      <c r="AM277" t="s">
        <v>136</v>
      </c>
      <c r="AN277" t="s">
        <v>106</v>
      </c>
      <c r="AO277">
        <v>45.691944444400001</v>
      </c>
      <c r="AP277">
        <v>78.501944444399996</v>
      </c>
      <c r="AQ277">
        <v>408</v>
      </c>
      <c r="AS277">
        <v>2009</v>
      </c>
      <c r="AT277">
        <f>((16.9+17.5)/2*10)</f>
        <v>172</v>
      </c>
      <c r="AU277">
        <f>(54+59.9)/2</f>
        <v>56.95</v>
      </c>
      <c r="AV277">
        <f t="shared" si="12"/>
        <v>758</v>
      </c>
      <c r="AW277" t="s">
        <v>108</v>
      </c>
      <c r="AX277">
        <v>8</v>
      </c>
      <c r="AY277" t="s">
        <v>134</v>
      </c>
      <c r="AZ277" t="s">
        <v>109</v>
      </c>
      <c r="BA277" t="s">
        <v>138</v>
      </c>
      <c r="BB277">
        <v>8.75</v>
      </c>
      <c r="BC277">
        <f>(11.02+10.87)/2</f>
        <v>10.945</v>
      </c>
      <c r="BE277" t="s">
        <v>139</v>
      </c>
      <c r="BF277">
        <f t="shared" si="13"/>
        <v>28</v>
      </c>
      <c r="BG277">
        <v>0.17</v>
      </c>
      <c r="BS277" t="s">
        <v>662</v>
      </c>
      <c r="BU277" t="s">
        <v>665</v>
      </c>
      <c r="BV277">
        <v>26.1037</v>
      </c>
      <c r="BW277">
        <v>0.49190990000000001</v>
      </c>
      <c r="BX277">
        <v>10</v>
      </c>
      <c r="BY277">
        <v>26.162960000000002</v>
      </c>
      <c r="BZ277">
        <v>0.4684856</v>
      </c>
      <c r="CA277">
        <v>10</v>
      </c>
      <c r="CB277" t="s">
        <v>113</v>
      </c>
      <c r="CC277" t="s">
        <v>451</v>
      </c>
    </row>
    <row r="278" spans="1:81" x14ac:dyDescent="0.25">
      <c r="A278" t="s">
        <v>81</v>
      </c>
      <c r="B278">
        <v>277</v>
      </c>
      <c r="C278">
        <v>46</v>
      </c>
      <c r="D278">
        <v>44</v>
      </c>
      <c r="E278">
        <v>47</v>
      </c>
      <c r="F278">
        <v>49</v>
      </c>
      <c r="G278">
        <v>149</v>
      </c>
      <c r="H278">
        <v>207</v>
      </c>
      <c r="I278" t="s">
        <v>654</v>
      </c>
      <c r="J278" t="s">
        <v>184</v>
      </c>
      <c r="L278" t="s">
        <v>655</v>
      </c>
      <c r="M278" t="s">
        <v>85</v>
      </c>
      <c r="O278" t="s">
        <v>14</v>
      </c>
      <c r="P278" t="s">
        <v>656</v>
      </c>
      <c r="Q278" t="s">
        <v>657</v>
      </c>
      <c r="R278">
        <v>2014</v>
      </c>
      <c r="S278" t="s">
        <v>289</v>
      </c>
      <c r="U278" t="s">
        <v>658</v>
      </c>
      <c r="V278" t="s">
        <v>659</v>
      </c>
      <c r="W278" t="s">
        <v>91</v>
      </c>
      <c r="X278" t="s">
        <v>126</v>
      </c>
      <c r="Y278" t="s">
        <v>190</v>
      </c>
      <c r="Z278" t="s">
        <v>191</v>
      </c>
      <c r="AA278" t="s">
        <v>496</v>
      </c>
      <c r="AB278" t="s">
        <v>660</v>
      </c>
      <c r="AC278" t="s">
        <v>661</v>
      </c>
      <c r="AD278" t="s">
        <v>132</v>
      </c>
      <c r="AE278" t="s">
        <v>133</v>
      </c>
      <c r="AF278" t="s">
        <v>100</v>
      </c>
      <c r="AG278" t="s">
        <v>102</v>
      </c>
      <c r="AH278" t="s">
        <v>102</v>
      </c>
      <c r="AI278" t="s">
        <v>134</v>
      </c>
      <c r="AJ278" t="s">
        <v>135</v>
      </c>
      <c r="AM278" t="s">
        <v>136</v>
      </c>
      <c r="AN278" t="s">
        <v>106</v>
      </c>
      <c r="AO278">
        <v>45.691944444400001</v>
      </c>
      <c r="AP278">
        <v>78.501944444399996</v>
      </c>
      <c r="AQ278">
        <v>408</v>
      </c>
      <c r="AS278">
        <v>2009</v>
      </c>
      <c r="AT278">
        <f>((17.5+15.9)/2)*10</f>
        <v>167</v>
      </c>
      <c r="AU278">
        <f>(59.9+48)/2</f>
        <v>53.95</v>
      </c>
      <c r="AV278">
        <f t="shared" si="12"/>
        <v>758</v>
      </c>
      <c r="AW278" t="s">
        <v>108</v>
      </c>
      <c r="AX278">
        <v>8</v>
      </c>
      <c r="AY278" t="s">
        <v>103</v>
      </c>
      <c r="AZ278" t="s">
        <v>109</v>
      </c>
      <c r="BA278" t="s">
        <v>138</v>
      </c>
      <c r="BB278">
        <f>(11.02+10.87)/2</f>
        <v>10.945</v>
      </c>
      <c r="BC278">
        <f>(15.01+15.23)/2</f>
        <v>15.120000000000001</v>
      </c>
      <c r="BE278" t="s">
        <v>139</v>
      </c>
      <c r="BF278">
        <f t="shared" si="13"/>
        <v>28</v>
      </c>
      <c r="BG278">
        <v>0.17</v>
      </c>
      <c r="BS278" t="s">
        <v>662</v>
      </c>
      <c r="BU278" t="s">
        <v>665</v>
      </c>
      <c r="BV278">
        <v>26.162960000000002</v>
      </c>
      <c r="BW278">
        <v>0.4684856</v>
      </c>
      <c r="BX278">
        <v>10</v>
      </c>
      <c r="BY278">
        <v>28.281479999999998</v>
      </c>
      <c r="BZ278">
        <v>0.4684856</v>
      </c>
      <c r="CA278">
        <v>10</v>
      </c>
      <c r="CB278" t="s">
        <v>113</v>
      </c>
      <c r="CC278" t="s">
        <v>451</v>
      </c>
    </row>
    <row r="279" spans="1:81" x14ac:dyDescent="0.25">
      <c r="A279" t="s">
        <v>81</v>
      </c>
      <c r="B279">
        <v>278</v>
      </c>
      <c r="C279">
        <v>46</v>
      </c>
      <c r="D279">
        <v>44</v>
      </c>
      <c r="E279">
        <v>47</v>
      </c>
      <c r="F279">
        <v>49</v>
      </c>
      <c r="G279">
        <v>149</v>
      </c>
      <c r="H279">
        <v>208</v>
      </c>
      <c r="I279" t="s">
        <v>654</v>
      </c>
      <c r="J279" t="s">
        <v>184</v>
      </c>
      <c r="L279" t="s">
        <v>655</v>
      </c>
      <c r="M279" t="s">
        <v>85</v>
      </c>
      <c r="O279" t="s">
        <v>14</v>
      </c>
      <c r="P279" t="s">
        <v>656</v>
      </c>
      <c r="Q279" t="s">
        <v>657</v>
      </c>
      <c r="R279">
        <v>2014</v>
      </c>
      <c r="S279" t="s">
        <v>289</v>
      </c>
      <c r="U279" t="s">
        <v>658</v>
      </c>
      <c r="V279" t="s">
        <v>659</v>
      </c>
      <c r="W279" t="s">
        <v>91</v>
      </c>
      <c r="X279" t="s">
        <v>126</v>
      </c>
      <c r="Y279" t="s">
        <v>190</v>
      </c>
      <c r="Z279" t="s">
        <v>191</v>
      </c>
      <c r="AA279" t="s">
        <v>496</v>
      </c>
      <c r="AB279" t="s">
        <v>660</v>
      </c>
      <c r="AC279" t="s">
        <v>661</v>
      </c>
      <c r="AD279" t="s">
        <v>132</v>
      </c>
      <c r="AE279" t="s">
        <v>133</v>
      </c>
      <c r="AF279" t="s">
        <v>100</v>
      </c>
      <c r="AG279" t="s">
        <v>102</v>
      </c>
      <c r="AH279" t="s">
        <v>102</v>
      </c>
      <c r="AI279" t="s">
        <v>134</v>
      </c>
      <c r="AJ279" t="s">
        <v>135</v>
      </c>
      <c r="AM279" t="s">
        <v>136</v>
      </c>
      <c r="AN279" t="s">
        <v>106</v>
      </c>
      <c r="AO279">
        <v>45.691944444400001</v>
      </c>
      <c r="AP279">
        <v>78.501944444399996</v>
      </c>
      <c r="AQ279">
        <v>408</v>
      </c>
      <c r="AS279">
        <v>2009</v>
      </c>
      <c r="AT279">
        <f>((16+15.9)/2)*10</f>
        <v>159.5</v>
      </c>
      <c r="AU279">
        <f>(48+51.5)/2</f>
        <v>49.75</v>
      </c>
      <c r="AV279">
        <f t="shared" si="12"/>
        <v>758</v>
      </c>
      <c r="AW279" t="s">
        <v>108</v>
      </c>
      <c r="AX279">
        <v>8</v>
      </c>
      <c r="AY279" t="s">
        <v>103</v>
      </c>
      <c r="AZ279" t="s">
        <v>109</v>
      </c>
      <c r="BA279" t="s">
        <v>138</v>
      </c>
      <c r="BB279">
        <f>(15.01+15.23)/2</f>
        <v>15.120000000000001</v>
      </c>
      <c r="BC279">
        <f>(18.68+19.29)/2</f>
        <v>18.984999999999999</v>
      </c>
      <c r="BE279" t="s">
        <v>139</v>
      </c>
      <c r="BF279">
        <f t="shared" si="13"/>
        <v>28</v>
      </c>
      <c r="BG279">
        <v>0.17</v>
      </c>
      <c r="BS279" t="s">
        <v>662</v>
      </c>
      <c r="BU279" t="s">
        <v>665</v>
      </c>
      <c r="BV279">
        <v>28.281479999999998</v>
      </c>
      <c r="BW279">
        <v>0.4684856</v>
      </c>
      <c r="BX279">
        <v>10</v>
      </c>
      <c r="BY279">
        <v>29.037040000000001</v>
      </c>
      <c r="BZ279">
        <v>0.4684856</v>
      </c>
      <c r="CA279">
        <v>10</v>
      </c>
      <c r="CB279" t="s">
        <v>113</v>
      </c>
      <c r="CC279" t="s">
        <v>451</v>
      </c>
    </row>
    <row r="280" spans="1:81" x14ac:dyDescent="0.25">
      <c r="A280" t="s">
        <v>81</v>
      </c>
      <c r="B280">
        <v>279</v>
      </c>
      <c r="C280">
        <v>46</v>
      </c>
      <c r="D280">
        <v>44</v>
      </c>
      <c r="E280">
        <v>48</v>
      </c>
      <c r="F280">
        <v>50</v>
      </c>
      <c r="G280">
        <v>150</v>
      </c>
      <c r="H280">
        <v>209</v>
      </c>
      <c r="I280" t="s">
        <v>654</v>
      </c>
      <c r="J280" t="s">
        <v>184</v>
      </c>
      <c r="L280" t="s">
        <v>655</v>
      </c>
      <c r="M280" t="s">
        <v>85</v>
      </c>
      <c r="O280" t="s">
        <v>14</v>
      </c>
      <c r="P280" t="s">
        <v>656</v>
      </c>
      <c r="Q280" t="s">
        <v>657</v>
      </c>
      <c r="R280">
        <v>2014</v>
      </c>
      <c r="S280" t="s">
        <v>289</v>
      </c>
      <c r="U280" t="s">
        <v>658</v>
      </c>
      <c r="V280" t="s">
        <v>659</v>
      </c>
      <c r="W280" t="s">
        <v>91</v>
      </c>
      <c r="X280" t="s">
        <v>126</v>
      </c>
      <c r="Y280" t="s">
        <v>190</v>
      </c>
      <c r="Z280" t="s">
        <v>191</v>
      </c>
      <c r="AA280" t="s">
        <v>496</v>
      </c>
      <c r="AB280" t="s">
        <v>660</v>
      </c>
      <c r="AC280" t="s">
        <v>661</v>
      </c>
      <c r="AD280" t="s">
        <v>132</v>
      </c>
      <c r="AE280" t="s">
        <v>133</v>
      </c>
      <c r="AF280" t="s">
        <v>100</v>
      </c>
      <c r="AG280" t="s">
        <v>102</v>
      </c>
      <c r="AH280" t="s">
        <v>102</v>
      </c>
      <c r="AI280" t="s">
        <v>134</v>
      </c>
      <c r="AJ280" t="s">
        <v>135</v>
      </c>
      <c r="AM280" t="s">
        <v>136</v>
      </c>
      <c r="AN280" t="s">
        <v>106</v>
      </c>
      <c r="AO280">
        <v>45.75</v>
      </c>
      <c r="AP280">
        <v>81.95</v>
      </c>
      <c r="AQ280">
        <v>221</v>
      </c>
      <c r="AS280">
        <v>2009</v>
      </c>
      <c r="AT280">
        <f>((17.1+16.9)/2)*10</f>
        <v>170</v>
      </c>
      <c r="AU280">
        <f>(51.7+53.3)/2</f>
        <v>52.5</v>
      </c>
      <c r="AV280">
        <f t="shared" si="12"/>
        <v>758</v>
      </c>
      <c r="AW280" t="s">
        <v>108</v>
      </c>
      <c r="AX280">
        <v>8</v>
      </c>
      <c r="AY280" t="s">
        <v>134</v>
      </c>
      <c r="AZ280" t="s">
        <v>109</v>
      </c>
      <c r="BA280" t="s">
        <v>138</v>
      </c>
      <c r="BB280">
        <v>8.75</v>
      </c>
      <c r="BC280">
        <f>(11.02+10.87)/2</f>
        <v>10.945</v>
      </c>
      <c r="BE280" t="s">
        <v>139</v>
      </c>
      <c r="BF280">
        <f t="shared" si="13"/>
        <v>28</v>
      </c>
      <c r="BG280">
        <v>0.17</v>
      </c>
      <c r="BS280" t="s">
        <v>662</v>
      </c>
      <c r="BU280" t="s">
        <v>666</v>
      </c>
      <c r="BV280">
        <v>26.00741</v>
      </c>
      <c r="BW280">
        <v>0.49190990000000001</v>
      </c>
      <c r="BX280">
        <v>10</v>
      </c>
      <c r="BY280">
        <v>26.585190000000001</v>
      </c>
      <c r="BZ280">
        <v>0.4684856</v>
      </c>
      <c r="CA280">
        <v>10</v>
      </c>
      <c r="CB280" t="s">
        <v>113</v>
      </c>
      <c r="CC280" t="s">
        <v>451</v>
      </c>
    </row>
    <row r="281" spans="1:81" x14ac:dyDescent="0.25">
      <c r="A281" t="s">
        <v>81</v>
      </c>
      <c r="B281">
        <v>280</v>
      </c>
      <c r="C281">
        <v>46</v>
      </c>
      <c r="D281">
        <v>44</v>
      </c>
      <c r="E281">
        <v>48</v>
      </c>
      <c r="F281">
        <v>50</v>
      </c>
      <c r="G281">
        <v>150</v>
      </c>
      <c r="H281">
        <v>210</v>
      </c>
      <c r="I281" t="s">
        <v>654</v>
      </c>
      <c r="J281" t="s">
        <v>184</v>
      </c>
      <c r="L281" t="s">
        <v>655</v>
      </c>
      <c r="M281" t="s">
        <v>85</v>
      </c>
      <c r="O281" t="s">
        <v>14</v>
      </c>
      <c r="P281" t="s">
        <v>656</v>
      </c>
      <c r="Q281" t="s">
        <v>657</v>
      </c>
      <c r="R281">
        <v>2014</v>
      </c>
      <c r="S281" t="s">
        <v>289</v>
      </c>
      <c r="U281" t="s">
        <v>658</v>
      </c>
      <c r="V281" t="s">
        <v>659</v>
      </c>
      <c r="W281" t="s">
        <v>91</v>
      </c>
      <c r="X281" t="s">
        <v>126</v>
      </c>
      <c r="Y281" t="s">
        <v>190</v>
      </c>
      <c r="Z281" t="s">
        <v>191</v>
      </c>
      <c r="AA281" t="s">
        <v>496</v>
      </c>
      <c r="AB281" t="s">
        <v>660</v>
      </c>
      <c r="AC281" t="s">
        <v>661</v>
      </c>
      <c r="AD281" t="s">
        <v>132</v>
      </c>
      <c r="AE281" t="s">
        <v>133</v>
      </c>
      <c r="AF281" t="s">
        <v>100</v>
      </c>
      <c r="AG281" t="s">
        <v>102</v>
      </c>
      <c r="AH281" t="s">
        <v>102</v>
      </c>
      <c r="AI281" t="s">
        <v>134</v>
      </c>
      <c r="AJ281" t="s">
        <v>135</v>
      </c>
      <c r="AM281" t="s">
        <v>136</v>
      </c>
      <c r="AN281" t="s">
        <v>106</v>
      </c>
      <c r="AO281">
        <v>45.75</v>
      </c>
      <c r="AP281">
        <v>81.95</v>
      </c>
      <c r="AQ281">
        <v>221</v>
      </c>
      <c r="AS281">
        <v>2009</v>
      </c>
      <c r="AT281">
        <f>((16.2+16.9)/2)*10</f>
        <v>165.49999999999997</v>
      </c>
      <c r="AU281">
        <f>(53.3+46.2)/2</f>
        <v>49.75</v>
      </c>
      <c r="AV281">
        <f t="shared" si="12"/>
        <v>758</v>
      </c>
      <c r="AW281" t="s">
        <v>108</v>
      </c>
      <c r="AX281">
        <v>8</v>
      </c>
      <c r="AY281" t="s">
        <v>103</v>
      </c>
      <c r="AZ281" t="s">
        <v>109</v>
      </c>
      <c r="BA281" t="s">
        <v>138</v>
      </c>
      <c r="BB281">
        <f>(11.02+10.87)/2</f>
        <v>10.945</v>
      </c>
      <c r="BC281">
        <f>(15.01+15.23)/2</f>
        <v>15.120000000000001</v>
      </c>
      <c r="BE281" t="s">
        <v>139</v>
      </c>
      <c r="BF281">
        <f t="shared" si="13"/>
        <v>28</v>
      </c>
      <c r="BG281">
        <v>0.17</v>
      </c>
      <c r="BS281" t="s">
        <v>662</v>
      </c>
      <c r="BU281" t="s">
        <v>666</v>
      </c>
      <c r="BV281">
        <v>26.585190000000001</v>
      </c>
      <c r="BW281">
        <v>0.4684856</v>
      </c>
      <c r="BX281">
        <v>10</v>
      </c>
      <c r="BY281">
        <v>28.32593</v>
      </c>
      <c r="BZ281">
        <v>0.51533410000000002</v>
      </c>
      <c r="CA281">
        <v>10</v>
      </c>
      <c r="CB281" t="s">
        <v>113</v>
      </c>
      <c r="CC281" t="s">
        <v>451</v>
      </c>
    </row>
    <row r="282" spans="1:81" x14ac:dyDescent="0.25">
      <c r="A282" t="s">
        <v>81</v>
      </c>
      <c r="B282">
        <v>281</v>
      </c>
      <c r="C282">
        <v>46</v>
      </c>
      <c r="D282">
        <v>44</v>
      </c>
      <c r="E282">
        <v>48</v>
      </c>
      <c r="F282">
        <v>50</v>
      </c>
      <c r="G282">
        <v>150</v>
      </c>
      <c r="H282">
        <v>211</v>
      </c>
      <c r="I282" t="s">
        <v>654</v>
      </c>
      <c r="J282" t="s">
        <v>184</v>
      </c>
      <c r="L282" t="s">
        <v>655</v>
      </c>
      <c r="M282" t="s">
        <v>85</v>
      </c>
      <c r="O282" t="s">
        <v>14</v>
      </c>
      <c r="P282" t="s">
        <v>656</v>
      </c>
      <c r="Q282" t="s">
        <v>657</v>
      </c>
      <c r="R282">
        <v>2014</v>
      </c>
      <c r="S282" t="s">
        <v>289</v>
      </c>
      <c r="U282" t="s">
        <v>658</v>
      </c>
      <c r="V282" t="s">
        <v>659</v>
      </c>
      <c r="W282" t="s">
        <v>91</v>
      </c>
      <c r="X282" t="s">
        <v>126</v>
      </c>
      <c r="Y282" t="s">
        <v>190</v>
      </c>
      <c r="Z282" t="s">
        <v>191</v>
      </c>
      <c r="AA282" t="s">
        <v>496</v>
      </c>
      <c r="AB282" t="s">
        <v>660</v>
      </c>
      <c r="AC282" t="s">
        <v>661</v>
      </c>
      <c r="AD282" t="s">
        <v>132</v>
      </c>
      <c r="AE282" t="s">
        <v>133</v>
      </c>
      <c r="AF282" t="s">
        <v>100</v>
      </c>
      <c r="AG282" t="s">
        <v>102</v>
      </c>
      <c r="AH282" t="s">
        <v>102</v>
      </c>
      <c r="AI282" t="s">
        <v>134</v>
      </c>
      <c r="AJ282" t="s">
        <v>135</v>
      </c>
      <c r="AM282" t="s">
        <v>136</v>
      </c>
      <c r="AN282" t="s">
        <v>106</v>
      </c>
      <c r="AO282">
        <v>45.75</v>
      </c>
      <c r="AP282">
        <v>81.95</v>
      </c>
      <c r="AQ282">
        <v>221</v>
      </c>
      <c r="AS282">
        <v>2009</v>
      </c>
      <c r="AT282">
        <f>((16.2+15.9)/2)*10</f>
        <v>160.5</v>
      </c>
      <c r="AU282">
        <f>(46.2+43.2)/2</f>
        <v>44.7</v>
      </c>
      <c r="AV282">
        <f t="shared" si="12"/>
        <v>758</v>
      </c>
      <c r="AW282" t="s">
        <v>108</v>
      </c>
      <c r="AX282">
        <v>8</v>
      </c>
      <c r="AY282" t="s">
        <v>103</v>
      </c>
      <c r="AZ282" t="s">
        <v>109</v>
      </c>
      <c r="BA282" t="s">
        <v>138</v>
      </c>
      <c r="BB282">
        <f>(15.01+15.23)/2</f>
        <v>15.120000000000001</v>
      </c>
      <c r="BC282">
        <f>(18.68+19.29)/2</f>
        <v>18.984999999999999</v>
      </c>
      <c r="BE282" t="s">
        <v>139</v>
      </c>
      <c r="BF282">
        <f t="shared" si="13"/>
        <v>28</v>
      </c>
      <c r="BG282">
        <v>0.17</v>
      </c>
      <c r="BS282" t="s">
        <v>662</v>
      </c>
      <c r="BU282" t="s">
        <v>666</v>
      </c>
      <c r="BV282">
        <v>28.32593</v>
      </c>
      <c r="BW282">
        <v>0.51533410000000002</v>
      </c>
      <c r="BX282">
        <v>10</v>
      </c>
      <c r="BY282">
        <v>28.844439999999999</v>
      </c>
      <c r="BZ282">
        <v>0.51533410000000002</v>
      </c>
      <c r="CA282">
        <v>10</v>
      </c>
      <c r="CB282" t="s">
        <v>113</v>
      </c>
      <c r="CC282" t="s">
        <v>451</v>
      </c>
    </row>
    <row r="283" spans="1:81" x14ac:dyDescent="0.25">
      <c r="A283" t="s">
        <v>81</v>
      </c>
      <c r="B283">
        <v>282</v>
      </c>
      <c r="C283">
        <v>47</v>
      </c>
      <c r="D283">
        <v>45</v>
      </c>
      <c r="E283">
        <v>49</v>
      </c>
      <c r="F283">
        <v>51</v>
      </c>
      <c r="G283">
        <v>151</v>
      </c>
      <c r="H283">
        <v>212</v>
      </c>
      <c r="J283" t="s">
        <v>338</v>
      </c>
      <c r="L283" t="s">
        <v>667</v>
      </c>
      <c r="M283" t="s">
        <v>85</v>
      </c>
      <c r="O283" t="s">
        <v>14</v>
      </c>
      <c r="P283" t="s">
        <v>668</v>
      </c>
      <c r="Q283" t="s">
        <v>669</v>
      </c>
      <c r="R283">
        <v>2015</v>
      </c>
      <c r="S283" t="s">
        <v>505</v>
      </c>
      <c r="U283" t="s">
        <v>670</v>
      </c>
      <c r="V283" t="s">
        <v>671</v>
      </c>
      <c r="W283" t="s">
        <v>91</v>
      </c>
      <c r="X283" t="s">
        <v>508</v>
      </c>
      <c r="Y283" t="s">
        <v>509</v>
      </c>
      <c r="Z283" t="s">
        <v>672</v>
      </c>
      <c r="AA283" t="s">
        <v>673</v>
      </c>
      <c r="AB283" t="s">
        <v>674</v>
      </c>
      <c r="AC283" t="s">
        <v>675</v>
      </c>
      <c r="AD283" t="s">
        <v>132</v>
      </c>
      <c r="AE283" t="s">
        <v>514</v>
      </c>
      <c r="AF283" t="s">
        <v>100</v>
      </c>
      <c r="AG283" t="s">
        <v>102</v>
      </c>
      <c r="AH283" t="s">
        <v>102</v>
      </c>
      <c r="AI283" t="s">
        <v>134</v>
      </c>
      <c r="AJ283" t="s">
        <v>135</v>
      </c>
      <c r="AM283" t="s">
        <v>136</v>
      </c>
      <c r="AN283" t="s">
        <v>106</v>
      </c>
      <c r="AO283">
        <v>-27.5</v>
      </c>
      <c r="AP283">
        <v>152.98333333330001</v>
      </c>
      <c r="AQ283">
        <v>26</v>
      </c>
      <c r="AW283" t="s">
        <v>108</v>
      </c>
      <c r="AX283">
        <v>23</v>
      </c>
      <c r="AY283" t="s">
        <v>103</v>
      </c>
      <c r="AZ283" t="s">
        <v>109</v>
      </c>
      <c r="BA283" t="s">
        <v>180</v>
      </c>
      <c r="BB283">
        <v>18</v>
      </c>
      <c r="BC283">
        <v>28</v>
      </c>
      <c r="BE283" t="s">
        <v>139</v>
      </c>
      <c r="BF283">
        <v>28</v>
      </c>
      <c r="BG283">
        <v>0.5</v>
      </c>
      <c r="BP283">
        <v>14</v>
      </c>
      <c r="BS283" t="s">
        <v>676</v>
      </c>
      <c r="BU283" t="s">
        <v>677</v>
      </c>
      <c r="BV283">
        <v>38.451610000000002</v>
      </c>
      <c r="BW283">
        <v>0.44698090000000001</v>
      </c>
      <c r="BX283">
        <v>12</v>
      </c>
      <c r="BY283">
        <v>41.268819999999998</v>
      </c>
      <c r="BZ283">
        <v>0.54630990000000001</v>
      </c>
      <c r="CA283">
        <v>12</v>
      </c>
      <c r="CB283" t="s">
        <v>113</v>
      </c>
      <c r="CC283" t="s">
        <v>678</v>
      </c>
    </row>
    <row r="284" spans="1:81" x14ac:dyDescent="0.25">
      <c r="A284" t="s">
        <v>81</v>
      </c>
      <c r="B284">
        <v>283</v>
      </c>
      <c r="C284">
        <v>47</v>
      </c>
      <c r="D284">
        <v>45</v>
      </c>
      <c r="E284">
        <v>49</v>
      </c>
      <c r="F284">
        <v>51</v>
      </c>
      <c r="G284">
        <v>152</v>
      </c>
      <c r="H284">
        <v>213</v>
      </c>
      <c r="J284" t="s">
        <v>338</v>
      </c>
      <c r="L284" t="s">
        <v>667</v>
      </c>
      <c r="M284" t="s">
        <v>85</v>
      </c>
      <c r="O284" t="s">
        <v>14</v>
      </c>
      <c r="P284" t="s">
        <v>668</v>
      </c>
      <c r="Q284" t="s">
        <v>669</v>
      </c>
      <c r="R284">
        <v>2015</v>
      </c>
      <c r="S284" t="s">
        <v>505</v>
      </c>
      <c r="U284" t="s">
        <v>670</v>
      </c>
      <c r="V284" t="s">
        <v>671</v>
      </c>
      <c r="W284" t="s">
        <v>91</v>
      </c>
      <c r="X284" t="s">
        <v>508</v>
      </c>
      <c r="Y284" t="s">
        <v>509</v>
      </c>
      <c r="Z284" t="s">
        <v>672</v>
      </c>
      <c r="AA284" t="s">
        <v>673</v>
      </c>
      <c r="AB284" t="s">
        <v>674</v>
      </c>
      <c r="AC284" t="s">
        <v>675</v>
      </c>
      <c r="AD284" t="s">
        <v>132</v>
      </c>
      <c r="AE284" t="s">
        <v>514</v>
      </c>
      <c r="AF284" t="s">
        <v>100</v>
      </c>
      <c r="AG284" t="s">
        <v>102</v>
      </c>
      <c r="AH284" t="s">
        <v>102</v>
      </c>
      <c r="AI284" t="s">
        <v>134</v>
      </c>
      <c r="AJ284" t="s">
        <v>135</v>
      </c>
      <c r="AM284" t="s">
        <v>136</v>
      </c>
      <c r="AN284" t="s">
        <v>106</v>
      </c>
      <c r="AO284">
        <v>-27.5</v>
      </c>
      <c r="AP284">
        <v>152.98333333330001</v>
      </c>
      <c r="AQ284">
        <v>26</v>
      </c>
      <c r="AW284" t="s">
        <v>108</v>
      </c>
      <c r="AX284">
        <v>23</v>
      </c>
      <c r="AY284" t="s">
        <v>103</v>
      </c>
      <c r="AZ284" t="s">
        <v>109</v>
      </c>
      <c r="BA284" t="s">
        <v>180</v>
      </c>
      <c r="BB284">
        <v>18</v>
      </c>
      <c r="BC284">
        <v>28</v>
      </c>
      <c r="BE284" t="s">
        <v>139</v>
      </c>
      <c r="BF284">
        <v>28</v>
      </c>
      <c r="BG284">
        <v>0.5</v>
      </c>
      <c r="BP284">
        <v>14</v>
      </c>
      <c r="BS284" t="s">
        <v>676</v>
      </c>
      <c r="BU284" t="s">
        <v>679</v>
      </c>
      <c r="BV284">
        <v>38.881720000000001</v>
      </c>
      <c r="BW284">
        <v>0.62080670000000004</v>
      </c>
      <c r="BX284">
        <v>12</v>
      </c>
      <c r="BY284">
        <v>40.996420000000001</v>
      </c>
      <c r="BZ284">
        <v>0.27315499999999998</v>
      </c>
      <c r="CA284">
        <v>12</v>
      </c>
      <c r="CB284" t="s">
        <v>113</v>
      </c>
      <c r="CC284" t="s">
        <v>678</v>
      </c>
    </row>
    <row r="285" spans="1:81" x14ac:dyDescent="0.25">
      <c r="A285" t="s">
        <v>81</v>
      </c>
      <c r="B285">
        <v>284</v>
      </c>
      <c r="C285">
        <v>48</v>
      </c>
      <c r="D285">
        <v>46</v>
      </c>
      <c r="E285">
        <v>50</v>
      </c>
      <c r="F285">
        <v>52</v>
      </c>
      <c r="G285">
        <v>153</v>
      </c>
      <c r="H285">
        <v>214</v>
      </c>
      <c r="I285" t="s">
        <v>322</v>
      </c>
      <c r="J285" t="s">
        <v>413</v>
      </c>
      <c r="L285" t="s">
        <v>680</v>
      </c>
      <c r="M285" t="s">
        <v>85</v>
      </c>
      <c r="O285" t="s">
        <v>14</v>
      </c>
      <c r="P285" t="s">
        <v>681</v>
      </c>
      <c r="Q285" t="s">
        <v>682</v>
      </c>
      <c r="R285">
        <v>2016</v>
      </c>
      <c r="S285" t="s">
        <v>158</v>
      </c>
      <c r="U285" t="s">
        <v>683</v>
      </c>
      <c r="V285" t="s">
        <v>684</v>
      </c>
      <c r="W285" t="s">
        <v>170</v>
      </c>
      <c r="X285" t="s">
        <v>171</v>
      </c>
      <c r="Y285" t="s">
        <v>329</v>
      </c>
      <c r="Z285" t="s">
        <v>685</v>
      </c>
      <c r="AA285" t="s">
        <v>686</v>
      </c>
      <c r="AB285" t="s">
        <v>687</v>
      </c>
      <c r="AC285" t="s">
        <v>688</v>
      </c>
      <c r="AD285" t="s">
        <v>98</v>
      </c>
      <c r="AE285" t="s">
        <v>177</v>
      </c>
      <c r="AF285" t="s">
        <v>100</v>
      </c>
      <c r="AG285" t="s">
        <v>102</v>
      </c>
      <c r="AH285" t="s">
        <v>102</v>
      </c>
      <c r="AI285" t="s">
        <v>134</v>
      </c>
      <c r="AJ285" t="s">
        <v>135</v>
      </c>
      <c r="AM285" t="s">
        <v>136</v>
      </c>
      <c r="AN285" t="s">
        <v>106</v>
      </c>
      <c r="AW285" t="s">
        <v>108</v>
      </c>
      <c r="AX285">
        <v>25.5</v>
      </c>
      <c r="AY285" t="s">
        <v>103</v>
      </c>
      <c r="AZ285" t="s">
        <v>109</v>
      </c>
      <c r="BA285" t="s">
        <v>138</v>
      </c>
      <c r="BB285">
        <v>25</v>
      </c>
      <c r="BC285">
        <v>28</v>
      </c>
      <c r="BE285" t="s">
        <v>139</v>
      </c>
      <c r="BG285">
        <v>0.25</v>
      </c>
      <c r="BP285">
        <v>14</v>
      </c>
      <c r="BU285" t="s">
        <v>689</v>
      </c>
      <c r="BV285">
        <v>43.984850000000002</v>
      </c>
      <c r="BW285">
        <v>1.1111111</v>
      </c>
      <c r="BX285">
        <v>25</v>
      </c>
      <c r="BY285">
        <v>44.732320000000001</v>
      </c>
      <c r="BZ285">
        <v>0.83333330000000005</v>
      </c>
      <c r="CA285">
        <v>25</v>
      </c>
      <c r="CB285" t="s">
        <v>113</v>
      </c>
      <c r="CC285" t="s">
        <v>690</v>
      </c>
    </row>
    <row r="286" spans="1:81" x14ac:dyDescent="0.25">
      <c r="A286" t="s">
        <v>81</v>
      </c>
      <c r="B286">
        <v>285</v>
      </c>
      <c r="C286">
        <v>48</v>
      </c>
      <c r="D286">
        <v>46</v>
      </c>
      <c r="E286">
        <v>50</v>
      </c>
      <c r="F286">
        <v>52</v>
      </c>
      <c r="G286">
        <v>153</v>
      </c>
      <c r="H286">
        <v>215</v>
      </c>
      <c r="I286" t="s">
        <v>322</v>
      </c>
      <c r="J286" t="s">
        <v>413</v>
      </c>
      <c r="L286" t="s">
        <v>680</v>
      </c>
      <c r="M286" t="s">
        <v>85</v>
      </c>
      <c r="O286" t="s">
        <v>14</v>
      </c>
      <c r="P286" t="s">
        <v>681</v>
      </c>
      <c r="Q286" t="s">
        <v>682</v>
      </c>
      <c r="R286">
        <v>2016</v>
      </c>
      <c r="S286" t="s">
        <v>158</v>
      </c>
      <c r="U286" t="s">
        <v>683</v>
      </c>
      <c r="V286" t="s">
        <v>684</v>
      </c>
      <c r="W286" t="s">
        <v>170</v>
      </c>
      <c r="X286" t="s">
        <v>171</v>
      </c>
      <c r="Y286" t="s">
        <v>329</v>
      </c>
      <c r="Z286" t="s">
        <v>685</v>
      </c>
      <c r="AA286" t="s">
        <v>686</v>
      </c>
      <c r="AB286" t="s">
        <v>687</v>
      </c>
      <c r="AC286" t="s">
        <v>688</v>
      </c>
      <c r="AD286" t="s">
        <v>98</v>
      </c>
      <c r="AE286" t="s">
        <v>177</v>
      </c>
      <c r="AF286" t="s">
        <v>100</v>
      </c>
      <c r="AG286" t="s">
        <v>102</v>
      </c>
      <c r="AH286" t="s">
        <v>102</v>
      </c>
      <c r="AI286" t="s">
        <v>134</v>
      </c>
      <c r="AJ286" t="s">
        <v>135</v>
      </c>
      <c r="AM286" t="s">
        <v>136</v>
      </c>
      <c r="AN286" t="s">
        <v>106</v>
      </c>
      <c r="AW286" t="s">
        <v>108</v>
      </c>
      <c r="AX286">
        <v>25.5</v>
      </c>
      <c r="AY286" t="s">
        <v>103</v>
      </c>
      <c r="AZ286" t="s">
        <v>109</v>
      </c>
      <c r="BA286" t="s">
        <v>138</v>
      </c>
      <c r="BB286">
        <v>28</v>
      </c>
      <c r="BC286">
        <v>30</v>
      </c>
      <c r="BE286" t="s">
        <v>139</v>
      </c>
      <c r="BG286">
        <v>0.25</v>
      </c>
      <c r="BP286">
        <v>14</v>
      </c>
      <c r="BU286" t="s">
        <v>689</v>
      </c>
      <c r="BV286">
        <v>44.732320000000001</v>
      </c>
      <c r="BW286">
        <v>0.83333330000000005</v>
      </c>
      <c r="BX286">
        <v>25</v>
      </c>
      <c r="BY286">
        <v>45.540399999999998</v>
      </c>
      <c r="BZ286">
        <v>2.0202019999999998</v>
      </c>
      <c r="CA286">
        <v>25</v>
      </c>
      <c r="CB286" t="s">
        <v>113</v>
      </c>
      <c r="CC286" t="s">
        <v>690</v>
      </c>
    </row>
    <row r="287" spans="1:81" x14ac:dyDescent="0.25">
      <c r="A287" t="s">
        <v>81</v>
      </c>
      <c r="B287">
        <v>286</v>
      </c>
      <c r="C287">
        <v>48</v>
      </c>
      <c r="D287">
        <v>46</v>
      </c>
      <c r="E287">
        <v>50</v>
      </c>
      <c r="F287">
        <v>52</v>
      </c>
      <c r="G287">
        <v>154</v>
      </c>
      <c r="H287">
        <v>216</v>
      </c>
      <c r="I287" t="s">
        <v>322</v>
      </c>
      <c r="J287" t="s">
        <v>413</v>
      </c>
      <c r="L287" t="s">
        <v>680</v>
      </c>
      <c r="M287" t="s">
        <v>85</v>
      </c>
      <c r="O287" t="s">
        <v>14</v>
      </c>
      <c r="P287" t="s">
        <v>681</v>
      </c>
      <c r="Q287" t="s">
        <v>682</v>
      </c>
      <c r="R287">
        <v>2016</v>
      </c>
      <c r="S287" t="s">
        <v>158</v>
      </c>
      <c r="U287" t="s">
        <v>683</v>
      </c>
      <c r="V287" t="s">
        <v>684</v>
      </c>
      <c r="W287" t="s">
        <v>170</v>
      </c>
      <c r="X287" t="s">
        <v>171</v>
      </c>
      <c r="Y287" t="s">
        <v>329</v>
      </c>
      <c r="Z287" t="s">
        <v>685</v>
      </c>
      <c r="AA287" t="s">
        <v>686</v>
      </c>
      <c r="AB287" t="s">
        <v>687</v>
      </c>
      <c r="AC287" t="s">
        <v>688</v>
      </c>
      <c r="AD287" t="s">
        <v>98</v>
      </c>
      <c r="AE287" t="s">
        <v>177</v>
      </c>
      <c r="AF287" t="s">
        <v>100</v>
      </c>
      <c r="AG287" t="s">
        <v>102</v>
      </c>
      <c r="AH287" t="s">
        <v>102</v>
      </c>
      <c r="AI287" t="s">
        <v>134</v>
      </c>
      <c r="AJ287" t="s">
        <v>135</v>
      </c>
      <c r="AM287" t="s">
        <v>136</v>
      </c>
      <c r="AN287" t="s">
        <v>106</v>
      </c>
      <c r="AW287" t="s">
        <v>108</v>
      </c>
      <c r="AX287">
        <v>25.5</v>
      </c>
      <c r="AY287" t="s">
        <v>103</v>
      </c>
      <c r="AZ287" t="s">
        <v>109</v>
      </c>
      <c r="BA287" t="s">
        <v>138</v>
      </c>
      <c r="BB287">
        <v>25</v>
      </c>
      <c r="BC287">
        <v>28</v>
      </c>
      <c r="BD287">
        <v>10</v>
      </c>
      <c r="BE287" t="s">
        <v>111</v>
      </c>
      <c r="BG287">
        <v>0.25</v>
      </c>
      <c r="BP287">
        <v>14</v>
      </c>
      <c r="BU287" t="s">
        <v>689</v>
      </c>
      <c r="BV287">
        <v>44.449489999999997</v>
      </c>
      <c r="BW287">
        <v>0.78729579999999999</v>
      </c>
      <c r="BX287">
        <v>27</v>
      </c>
      <c r="BY287">
        <v>45.888890000000004</v>
      </c>
      <c r="BZ287">
        <v>0.73480939999999995</v>
      </c>
      <c r="CA287">
        <v>27</v>
      </c>
      <c r="CB287" t="s">
        <v>113</v>
      </c>
      <c r="CC287" t="s">
        <v>690</v>
      </c>
    </row>
    <row r="288" spans="1:81" x14ac:dyDescent="0.25">
      <c r="A288" t="s">
        <v>81</v>
      </c>
      <c r="B288">
        <v>287</v>
      </c>
      <c r="C288">
        <v>48</v>
      </c>
      <c r="D288">
        <v>46</v>
      </c>
      <c r="E288">
        <v>50</v>
      </c>
      <c r="F288">
        <v>52</v>
      </c>
      <c r="G288">
        <v>154</v>
      </c>
      <c r="H288">
        <v>217</v>
      </c>
      <c r="I288" t="s">
        <v>322</v>
      </c>
      <c r="J288" t="s">
        <v>413</v>
      </c>
      <c r="L288" t="s">
        <v>680</v>
      </c>
      <c r="M288" t="s">
        <v>85</v>
      </c>
      <c r="O288" t="s">
        <v>14</v>
      </c>
      <c r="P288" t="s">
        <v>681</v>
      </c>
      <c r="Q288" t="s">
        <v>682</v>
      </c>
      <c r="R288">
        <v>2016</v>
      </c>
      <c r="S288" t="s">
        <v>158</v>
      </c>
      <c r="U288" t="s">
        <v>683</v>
      </c>
      <c r="V288" t="s">
        <v>684</v>
      </c>
      <c r="W288" t="s">
        <v>170</v>
      </c>
      <c r="X288" t="s">
        <v>171</v>
      </c>
      <c r="Y288" t="s">
        <v>329</v>
      </c>
      <c r="Z288" t="s">
        <v>685</v>
      </c>
      <c r="AA288" t="s">
        <v>686</v>
      </c>
      <c r="AB288" t="s">
        <v>687</v>
      </c>
      <c r="AC288" t="s">
        <v>688</v>
      </c>
      <c r="AD288" t="s">
        <v>98</v>
      </c>
      <c r="AE288" t="s">
        <v>177</v>
      </c>
      <c r="AF288" t="s">
        <v>100</v>
      </c>
      <c r="AG288" t="s">
        <v>102</v>
      </c>
      <c r="AH288" t="s">
        <v>102</v>
      </c>
      <c r="AI288" t="s">
        <v>134</v>
      </c>
      <c r="AJ288" t="s">
        <v>135</v>
      </c>
      <c r="AM288" t="s">
        <v>136</v>
      </c>
      <c r="AN288" t="s">
        <v>106</v>
      </c>
      <c r="AW288" t="s">
        <v>108</v>
      </c>
      <c r="AX288">
        <v>25.5</v>
      </c>
      <c r="AY288" t="s">
        <v>103</v>
      </c>
      <c r="AZ288" t="s">
        <v>109</v>
      </c>
      <c r="BA288" t="s">
        <v>138</v>
      </c>
      <c r="BB288">
        <v>28</v>
      </c>
      <c r="BC288">
        <v>30</v>
      </c>
      <c r="BD288">
        <v>10</v>
      </c>
      <c r="BE288" t="s">
        <v>111</v>
      </c>
      <c r="BG288">
        <v>0.25</v>
      </c>
      <c r="BP288">
        <v>14</v>
      </c>
      <c r="BU288" t="s">
        <v>689</v>
      </c>
      <c r="BV288">
        <v>45.888890000000004</v>
      </c>
      <c r="BW288">
        <v>0.73480939999999995</v>
      </c>
      <c r="BX288">
        <v>27</v>
      </c>
      <c r="BY288">
        <v>45.449489999999997</v>
      </c>
      <c r="BZ288">
        <v>1.1022141999999999</v>
      </c>
      <c r="CA288">
        <v>27</v>
      </c>
      <c r="CB288" t="s">
        <v>113</v>
      </c>
      <c r="CC288" t="s">
        <v>690</v>
      </c>
    </row>
    <row r="289" spans="1:81" x14ac:dyDescent="0.25">
      <c r="A289" t="s">
        <v>81</v>
      </c>
      <c r="B289">
        <v>288</v>
      </c>
      <c r="C289">
        <v>49</v>
      </c>
      <c r="D289">
        <v>47</v>
      </c>
      <c r="E289">
        <v>51</v>
      </c>
      <c r="F289">
        <v>53</v>
      </c>
      <c r="G289">
        <v>155</v>
      </c>
      <c r="H289">
        <v>218</v>
      </c>
      <c r="I289" t="s">
        <v>322</v>
      </c>
      <c r="J289" t="s">
        <v>691</v>
      </c>
      <c r="M289" t="s">
        <v>85</v>
      </c>
      <c r="O289" t="s">
        <v>14</v>
      </c>
      <c r="P289" t="s">
        <v>692</v>
      </c>
      <c r="Q289" t="s">
        <v>693</v>
      </c>
      <c r="R289">
        <v>2020</v>
      </c>
      <c r="S289" t="s">
        <v>146</v>
      </c>
      <c r="U289" t="s">
        <v>694</v>
      </c>
      <c r="V289" t="s">
        <v>695</v>
      </c>
      <c r="W289" t="s">
        <v>91</v>
      </c>
      <c r="X289" t="s">
        <v>126</v>
      </c>
      <c r="Y289" t="s">
        <v>434</v>
      </c>
      <c r="Z289" t="s">
        <v>696</v>
      </c>
      <c r="AA289" t="s">
        <v>697</v>
      </c>
      <c r="AB289" t="s">
        <v>698</v>
      </c>
      <c r="AC289" t="s">
        <v>699</v>
      </c>
      <c r="AD289" t="s">
        <v>132</v>
      </c>
      <c r="AE289" t="s">
        <v>133</v>
      </c>
      <c r="AF289" t="s">
        <v>100</v>
      </c>
      <c r="AG289" t="s">
        <v>102</v>
      </c>
      <c r="AH289" t="s">
        <v>102</v>
      </c>
      <c r="AI289" t="s">
        <v>134</v>
      </c>
      <c r="AJ289" t="s">
        <v>135</v>
      </c>
      <c r="AM289" t="s">
        <v>136</v>
      </c>
      <c r="AN289" t="s">
        <v>700</v>
      </c>
      <c r="AU289">
        <v>1.5</v>
      </c>
      <c r="AW289" t="s">
        <v>108</v>
      </c>
      <c r="AX289">
        <v>23</v>
      </c>
      <c r="AY289" t="s">
        <v>103</v>
      </c>
      <c r="AZ289" t="s">
        <v>109</v>
      </c>
      <c r="BA289" t="s">
        <v>138</v>
      </c>
      <c r="BB289">
        <v>15</v>
      </c>
      <c r="BC289">
        <v>20</v>
      </c>
      <c r="BE289" t="s">
        <v>139</v>
      </c>
      <c r="BF289">
        <v>30</v>
      </c>
      <c r="BG289">
        <v>0.3</v>
      </c>
      <c r="BN289">
        <v>30</v>
      </c>
      <c r="BR289" t="s">
        <v>69</v>
      </c>
      <c r="BV289">
        <v>34.32</v>
      </c>
      <c r="BW289">
        <v>0.49</v>
      </c>
      <c r="BX289">
        <v>20</v>
      </c>
      <c r="BY289">
        <v>34.68</v>
      </c>
      <c r="BZ289">
        <v>0.96</v>
      </c>
      <c r="CA289">
        <v>20</v>
      </c>
      <c r="CB289" t="s">
        <v>113</v>
      </c>
      <c r="CC289" t="s">
        <v>701</v>
      </c>
    </row>
    <row r="290" spans="1:81" x14ac:dyDescent="0.25">
      <c r="A290" t="s">
        <v>81</v>
      </c>
      <c r="B290">
        <v>289</v>
      </c>
      <c r="C290">
        <v>49</v>
      </c>
      <c r="D290">
        <v>47</v>
      </c>
      <c r="E290">
        <v>51</v>
      </c>
      <c r="F290">
        <v>53</v>
      </c>
      <c r="G290">
        <v>155</v>
      </c>
      <c r="H290">
        <v>219</v>
      </c>
      <c r="I290" t="s">
        <v>322</v>
      </c>
      <c r="J290" t="s">
        <v>691</v>
      </c>
      <c r="M290" t="s">
        <v>85</v>
      </c>
      <c r="O290" t="s">
        <v>14</v>
      </c>
      <c r="P290" t="s">
        <v>692</v>
      </c>
      <c r="Q290" t="s">
        <v>693</v>
      </c>
      <c r="R290">
        <v>2020</v>
      </c>
      <c r="S290" t="s">
        <v>146</v>
      </c>
      <c r="U290" t="s">
        <v>694</v>
      </c>
      <c r="V290" t="s">
        <v>695</v>
      </c>
      <c r="W290" t="s">
        <v>91</v>
      </c>
      <c r="X290" t="s">
        <v>126</v>
      </c>
      <c r="Y290" t="s">
        <v>434</v>
      </c>
      <c r="Z290" t="s">
        <v>696</v>
      </c>
      <c r="AA290" t="s">
        <v>697</v>
      </c>
      <c r="AB290" t="s">
        <v>698</v>
      </c>
      <c r="AC290" t="s">
        <v>699</v>
      </c>
      <c r="AD290" t="s">
        <v>132</v>
      </c>
      <c r="AE290" t="s">
        <v>133</v>
      </c>
      <c r="AF290" t="s">
        <v>100</v>
      </c>
      <c r="AG290" t="s">
        <v>102</v>
      </c>
      <c r="AH290" t="s">
        <v>102</v>
      </c>
      <c r="AI290" t="s">
        <v>134</v>
      </c>
      <c r="AJ290" t="s">
        <v>135</v>
      </c>
      <c r="AM290" t="s">
        <v>136</v>
      </c>
      <c r="AN290" t="s">
        <v>700</v>
      </c>
      <c r="AU290">
        <v>1.5</v>
      </c>
      <c r="AW290" t="s">
        <v>108</v>
      </c>
      <c r="AX290">
        <v>23</v>
      </c>
      <c r="AY290" t="s">
        <v>103</v>
      </c>
      <c r="AZ290" t="s">
        <v>109</v>
      </c>
      <c r="BA290" t="s">
        <v>138</v>
      </c>
      <c r="BB290">
        <v>20</v>
      </c>
      <c r="BC290">
        <v>25</v>
      </c>
      <c r="BE290" t="s">
        <v>139</v>
      </c>
      <c r="BF290">
        <v>30</v>
      </c>
      <c r="BG290">
        <v>0.3</v>
      </c>
      <c r="BN290">
        <v>30</v>
      </c>
      <c r="BR290" t="s">
        <v>69</v>
      </c>
      <c r="BV290">
        <v>34.68</v>
      </c>
      <c r="BW290">
        <v>0.96</v>
      </c>
      <c r="BX290">
        <v>20</v>
      </c>
      <c r="BY290">
        <v>35.880000000000003</v>
      </c>
      <c r="BZ290">
        <v>0.27</v>
      </c>
      <c r="CA290">
        <v>20</v>
      </c>
      <c r="CB290" t="s">
        <v>113</v>
      </c>
      <c r="CC290" t="s">
        <v>701</v>
      </c>
    </row>
    <row r="291" spans="1:81" x14ac:dyDescent="0.25">
      <c r="A291" t="s">
        <v>81</v>
      </c>
      <c r="B291">
        <v>290</v>
      </c>
      <c r="C291">
        <v>49</v>
      </c>
      <c r="D291">
        <v>47</v>
      </c>
      <c r="E291">
        <v>51</v>
      </c>
      <c r="F291">
        <v>53</v>
      </c>
      <c r="G291">
        <v>155</v>
      </c>
      <c r="H291">
        <v>220</v>
      </c>
      <c r="I291" t="s">
        <v>322</v>
      </c>
      <c r="J291" t="s">
        <v>691</v>
      </c>
      <c r="M291" t="s">
        <v>85</v>
      </c>
      <c r="O291" t="s">
        <v>14</v>
      </c>
      <c r="P291" t="s">
        <v>692</v>
      </c>
      <c r="Q291" t="s">
        <v>693</v>
      </c>
      <c r="R291">
        <v>2020</v>
      </c>
      <c r="S291" t="s">
        <v>146</v>
      </c>
      <c r="U291" t="s">
        <v>694</v>
      </c>
      <c r="V291" t="s">
        <v>695</v>
      </c>
      <c r="W291" t="s">
        <v>91</v>
      </c>
      <c r="X291" t="s">
        <v>126</v>
      </c>
      <c r="Y291" t="s">
        <v>434</v>
      </c>
      <c r="Z291" t="s">
        <v>696</v>
      </c>
      <c r="AA291" t="s">
        <v>697</v>
      </c>
      <c r="AB291" t="s">
        <v>698</v>
      </c>
      <c r="AC291" t="s">
        <v>699</v>
      </c>
      <c r="AD291" t="s">
        <v>132</v>
      </c>
      <c r="AE291" t="s">
        <v>133</v>
      </c>
      <c r="AF291" t="s">
        <v>100</v>
      </c>
      <c r="AG291" t="s">
        <v>102</v>
      </c>
      <c r="AH291" t="s">
        <v>102</v>
      </c>
      <c r="AI291" t="s">
        <v>134</v>
      </c>
      <c r="AJ291" t="s">
        <v>135</v>
      </c>
      <c r="AM291" t="s">
        <v>136</v>
      </c>
      <c r="AN291" t="s">
        <v>700</v>
      </c>
      <c r="AU291">
        <v>1.5</v>
      </c>
      <c r="AW291" t="s">
        <v>108</v>
      </c>
      <c r="AX291">
        <v>23</v>
      </c>
      <c r="AY291" t="s">
        <v>103</v>
      </c>
      <c r="AZ291" t="s">
        <v>109</v>
      </c>
      <c r="BA291" t="s">
        <v>138</v>
      </c>
      <c r="BB291">
        <v>25</v>
      </c>
      <c r="BC291">
        <v>30</v>
      </c>
      <c r="BE291" t="s">
        <v>139</v>
      </c>
      <c r="BF291">
        <v>30</v>
      </c>
      <c r="BG291">
        <v>0.3</v>
      </c>
      <c r="BN291">
        <v>30</v>
      </c>
      <c r="BR291" t="s">
        <v>69</v>
      </c>
      <c r="BV291">
        <v>35.880000000000003</v>
      </c>
      <c r="BW291">
        <v>0.27</v>
      </c>
      <c r="BX291">
        <v>20</v>
      </c>
      <c r="BY291">
        <v>36.630000000000003</v>
      </c>
      <c r="BZ291">
        <v>0.38</v>
      </c>
      <c r="CA291">
        <v>20</v>
      </c>
      <c r="CB291" t="s">
        <v>113</v>
      </c>
      <c r="CC291" t="s">
        <v>701</v>
      </c>
    </row>
    <row r="292" spans="1:81" x14ac:dyDescent="0.25">
      <c r="A292" t="s">
        <v>81</v>
      </c>
      <c r="B292">
        <v>291</v>
      </c>
      <c r="C292">
        <v>49</v>
      </c>
      <c r="D292">
        <v>47</v>
      </c>
      <c r="E292">
        <v>51</v>
      </c>
      <c r="F292">
        <v>53</v>
      </c>
      <c r="G292">
        <v>156</v>
      </c>
      <c r="H292">
        <v>221</v>
      </c>
      <c r="I292" t="s">
        <v>322</v>
      </c>
      <c r="J292" t="s">
        <v>211</v>
      </c>
      <c r="M292" t="s">
        <v>85</v>
      </c>
      <c r="O292" t="s">
        <v>14</v>
      </c>
      <c r="P292" t="s">
        <v>692</v>
      </c>
      <c r="Q292" t="s">
        <v>693</v>
      </c>
      <c r="R292">
        <v>2020</v>
      </c>
      <c r="S292" t="s">
        <v>146</v>
      </c>
      <c r="U292" t="s">
        <v>694</v>
      </c>
      <c r="V292" t="s">
        <v>695</v>
      </c>
      <c r="W292" t="s">
        <v>91</v>
      </c>
      <c r="X292" t="s">
        <v>126</v>
      </c>
      <c r="Y292" t="s">
        <v>434</v>
      </c>
      <c r="Z292" t="s">
        <v>696</v>
      </c>
      <c r="AA292" t="s">
        <v>697</v>
      </c>
      <c r="AB292" t="s">
        <v>698</v>
      </c>
      <c r="AC292" t="s">
        <v>699</v>
      </c>
      <c r="AD292" t="s">
        <v>132</v>
      </c>
      <c r="AE292" t="s">
        <v>133</v>
      </c>
      <c r="AF292" t="s">
        <v>100</v>
      </c>
      <c r="AG292" t="s">
        <v>102</v>
      </c>
      <c r="AH292" t="s">
        <v>102</v>
      </c>
      <c r="AI292" t="s">
        <v>134</v>
      </c>
      <c r="AJ292" t="s">
        <v>135</v>
      </c>
      <c r="AM292" t="s">
        <v>136</v>
      </c>
      <c r="AN292" t="s">
        <v>700</v>
      </c>
      <c r="AU292">
        <v>1.5</v>
      </c>
      <c r="AW292" t="s">
        <v>108</v>
      </c>
      <c r="AX292">
        <v>23</v>
      </c>
      <c r="AY292" t="s">
        <v>103</v>
      </c>
      <c r="AZ292" t="s">
        <v>212</v>
      </c>
      <c r="BA292" t="s">
        <v>142</v>
      </c>
      <c r="BB292">
        <v>15</v>
      </c>
      <c r="BC292">
        <v>20</v>
      </c>
      <c r="BE292" t="s">
        <v>139</v>
      </c>
      <c r="BF292">
        <v>30</v>
      </c>
      <c r="BH292">
        <v>96</v>
      </c>
      <c r="BI292">
        <v>5</v>
      </c>
      <c r="BJ292">
        <v>2</v>
      </c>
      <c r="BK292">
        <v>10</v>
      </c>
      <c r="BN292">
        <v>30</v>
      </c>
      <c r="BV292">
        <v>28.92</v>
      </c>
      <c r="BW292">
        <v>0.53571429999999998</v>
      </c>
      <c r="BX292">
        <v>10</v>
      </c>
      <c r="BY292">
        <v>30.12</v>
      </c>
      <c r="BZ292">
        <v>0.53571429999999998</v>
      </c>
      <c r="CA292">
        <v>10</v>
      </c>
      <c r="CB292" t="s">
        <v>215</v>
      </c>
      <c r="CC292" t="s">
        <v>702</v>
      </c>
    </row>
    <row r="293" spans="1:81" x14ac:dyDescent="0.25">
      <c r="A293" t="s">
        <v>81</v>
      </c>
      <c r="B293">
        <v>292</v>
      </c>
      <c r="C293">
        <v>49</v>
      </c>
      <c r="D293">
        <v>47</v>
      </c>
      <c r="E293">
        <v>51</v>
      </c>
      <c r="F293">
        <v>53</v>
      </c>
      <c r="G293">
        <v>156</v>
      </c>
      <c r="H293">
        <v>222</v>
      </c>
      <c r="I293" t="s">
        <v>322</v>
      </c>
      <c r="J293" t="s">
        <v>211</v>
      </c>
      <c r="M293" t="s">
        <v>85</v>
      </c>
      <c r="O293" t="s">
        <v>14</v>
      </c>
      <c r="P293" t="s">
        <v>692</v>
      </c>
      <c r="Q293" t="s">
        <v>693</v>
      </c>
      <c r="R293">
        <v>2020</v>
      </c>
      <c r="S293" t="s">
        <v>146</v>
      </c>
      <c r="U293" t="s">
        <v>694</v>
      </c>
      <c r="V293" t="s">
        <v>695</v>
      </c>
      <c r="W293" t="s">
        <v>91</v>
      </c>
      <c r="X293" t="s">
        <v>126</v>
      </c>
      <c r="Y293" t="s">
        <v>434</v>
      </c>
      <c r="Z293" t="s">
        <v>696</v>
      </c>
      <c r="AA293" t="s">
        <v>697</v>
      </c>
      <c r="AB293" t="s">
        <v>698</v>
      </c>
      <c r="AC293" t="s">
        <v>699</v>
      </c>
      <c r="AD293" t="s">
        <v>132</v>
      </c>
      <c r="AE293" t="s">
        <v>133</v>
      </c>
      <c r="AF293" t="s">
        <v>100</v>
      </c>
      <c r="AG293" t="s">
        <v>102</v>
      </c>
      <c r="AH293" t="s">
        <v>102</v>
      </c>
      <c r="AI293" t="s">
        <v>134</v>
      </c>
      <c r="AJ293" t="s">
        <v>135</v>
      </c>
      <c r="AM293" t="s">
        <v>136</v>
      </c>
      <c r="AN293" t="s">
        <v>700</v>
      </c>
      <c r="AU293">
        <v>1.5</v>
      </c>
      <c r="AW293" t="s">
        <v>108</v>
      </c>
      <c r="AX293">
        <v>23</v>
      </c>
      <c r="AY293" t="s">
        <v>103</v>
      </c>
      <c r="AZ293" t="s">
        <v>212</v>
      </c>
      <c r="BA293" t="s">
        <v>142</v>
      </c>
      <c r="BB293">
        <v>20</v>
      </c>
      <c r="BC293">
        <v>25</v>
      </c>
      <c r="BE293" t="s">
        <v>139</v>
      </c>
      <c r="BF293">
        <v>30</v>
      </c>
      <c r="BH293">
        <v>96</v>
      </c>
      <c r="BI293">
        <v>5</v>
      </c>
      <c r="BJ293">
        <v>2</v>
      </c>
      <c r="BK293">
        <v>10</v>
      </c>
      <c r="BN293">
        <v>30</v>
      </c>
      <c r="BV293">
        <v>30.12</v>
      </c>
      <c r="BW293">
        <v>0.53571429999999998</v>
      </c>
      <c r="BX293">
        <v>10</v>
      </c>
      <c r="BY293">
        <v>33.85</v>
      </c>
      <c r="BZ293">
        <v>0.53571429999999998</v>
      </c>
      <c r="CA293">
        <v>10</v>
      </c>
      <c r="CB293" t="s">
        <v>215</v>
      </c>
      <c r="CC293" t="s">
        <v>702</v>
      </c>
    </row>
    <row r="294" spans="1:81" x14ac:dyDescent="0.25">
      <c r="A294" t="s">
        <v>81</v>
      </c>
      <c r="B294">
        <v>293</v>
      </c>
      <c r="C294">
        <v>49</v>
      </c>
      <c r="D294">
        <v>47</v>
      </c>
      <c r="E294">
        <v>51</v>
      </c>
      <c r="F294">
        <v>53</v>
      </c>
      <c r="G294">
        <v>156</v>
      </c>
      <c r="H294">
        <v>223</v>
      </c>
      <c r="I294" t="s">
        <v>322</v>
      </c>
      <c r="J294" t="s">
        <v>211</v>
      </c>
      <c r="M294" t="s">
        <v>85</v>
      </c>
      <c r="O294" t="s">
        <v>14</v>
      </c>
      <c r="P294" t="s">
        <v>692</v>
      </c>
      <c r="Q294" t="s">
        <v>693</v>
      </c>
      <c r="R294">
        <v>2020</v>
      </c>
      <c r="S294" t="s">
        <v>146</v>
      </c>
      <c r="U294" t="s">
        <v>694</v>
      </c>
      <c r="V294" t="s">
        <v>695</v>
      </c>
      <c r="W294" t="s">
        <v>91</v>
      </c>
      <c r="X294" t="s">
        <v>126</v>
      </c>
      <c r="Y294" t="s">
        <v>434</v>
      </c>
      <c r="Z294" t="s">
        <v>696</v>
      </c>
      <c r="AA294" t="s">
        <v>697</v>
      </c>
      <c r="AB294" t="s">
        <v>698</v>
      </c>
      <c r="AC294" t="s">
        <v>699</v>
      </c>
      <c r="AD294" t="s">
        <v>132</v>
      </c>
      <c r="AE294" t="s">
        <v>133</v>
      </c>
      <c r="AF294" t="s">
        <v>100</v>
      </c>
      <c r="AG294" t="s">
        <v>102</v>
      </c>
      <c r="AH294" t="s">
        <v>102</v>
      </c>
      <c r="AI294" t="s">
        <v>134</v>
      </c>
      <c r="AJ294" t="s">
        <v>135</v>
      </c>
      <c r="AM294" t="s">
        <v>136</v>
      </c>
      <c r="AN294" t="s">
        <v>700</v>
      </c>
      <c r="AU294">
        <v>1.5</v>
      </c>
      <c r="AW294" t="s">
        <v>108</v>
      </c>
      <c r="AX294">
        <v>23</v>
      </c>
      <c r="AY294" t="s">
        <v>103</v>
      </c>
      <c r="AZ294" t="s">
        <v>212</v>
      </c>
      <c r="BA294" t="s">
        <v>142</v>
      </c>
      <c r="BB294">
        <v>25</v>
      </c>
      <c r="BC294">
        <v>30</v>
      </c>
      <c r="BE294" t="s">
        <v>139</v>
      </c>
      <c r="BF294">
        <v>30</v>
      </c>
      <c r="BH294">
        <v>96</v>
      </c>
      <c r="BI294">
        <v>5</v>
      </c>
      <c r="BJ294">
        <v>2</v>
      </c>
      <c r="BK294">
        <v>10</v>
      </c>
      <c r="BN294">
        <v>30</v>
      </c>
      <c r="BV294">
        <v>33.85</v>
      </c>
      <c r="BW294">
        <v>0.53571429999999998</v>
      </c>
      <c r="BX294">
        <v>10</v>
      </c>
      <c r="BY294">
        <v>34.29</v>
      </c>
      <c r="BZ294">
        <v>0.54081630000000003</v>
      </c>
      <c r="CA294">
        <v>10</v>
      </c>
      <c r="CB294" t="s">
        <v>215</v>
      </c>
      <c r="CC294" t="s">
        <v>702</v>
      </c>
    </row>
    <row r="295" spans="1:81" x14ac:dyDescent="0.25">
      <c r="A295" t="s">
        <v>81</v>
      </c>
      <c r="B295">
        <v>294</v>
      </c>
      <c r="C295">
        <v>50</v>
      </c>
      <c r="D295">
        <v>31</v>
      </c>
      <c r="E295">
        <v>52</v>
      </c>
      <c r="F295">
        <v>54</v>
      </c>
      <c r="G295">
        <v>157</v>
      </c>
      <c r="H295">
        <v>224</v>
      </c>
      <c r="I295" t="s">
        <v>322</v>
      </c>
      <c r="J295" t="s">
        <v>691</v>
      </c>
      <c r="M295" t="s">
        <v>85</v>
      </c>
      <c r="O295" t="s">
        <v>14</v>
      </c>
      <c r="P295" t="s">
        <v>703</v>
      </c>
      <c r="Q295" t="s">
        <v>704</v>
      </c>
      <c r="R295">
        <v>2018</v>
      </c>
      <c r="S295" t="s">
        <v>146</v>
      </c>
      <c r="U295" t="s">
        <v>705</v>
      </c>
      <c r="V295" t="s">
        <v>706</v>
      </c>
      <c r="W295" t="s">
        <v>91</v>
      </c>
      <c r="X295" t="s">
        <v>126</v>
      </c>
      <c r="Y295" t="s">
        <v>434</v>
      </c>
      <c r="Z295" t="s">
        <v>707</v>
      </c>
      <c r="AA295" t="s">
        <v>708</v>
      </c>
      <c r="AB295" t="s">
        <v>709</v>
      </c>
      <c r="AC295" t="s">
        <v>710</v>
      </c>
      <c r="AD295" t="s">
        <v>132</v>
      </c>
      <c r="AE295" t="s">
        <v>133</v>
      </c>
      <c r="AF295" t="s">
        <v>100</v>
      </c>
      <c r="AG295" t="s">
        <v>102</v>
      </c>
      <c r="AH295" t="s">
        <v>102</v>
      </c>
      <c r="AI295" t="s">
        <v>134</v>
      </c>
      <c r="AJ295" t="s">
        <v>135</v>
      </c>
      <c r="AM295" t="s">
        <v>136</v>
      </c>
      <c r="AN295" t="s">
        <v>700</v>
      </c>
      <c r="AU295">
        <v>1.2</v>
      </c>
      <c r="AW295" t="s">
        <v>108</v>
      </c>
      <c r="AX295">
        <v>22</v>
      </c>
      <c r="AY295" t="s">
        <v>103</v>
      </c>
      <c r="AZ295" t="s">
        <v>109</v>
      </c>
      <c r="BA295" t="s">
        <v>138</v>
      </c>
      <c r="BB295">
        <v>15</v>
      </c>
      <c r="BC295">
        <v>20</v>
      </c>
      <c r="BE295" t="s">
        <v>139</v>
      </c>
      <c r="BF295">
        <v>30</v>
      </c>
      <c r="BG295">
        <v>0.3</v>
      </c>
      <c r="BR295" t="s">
        <v>69</v>
      </c>
      <c r="BV295">
        <v>34.700000000000003</v>
      </c>
      <c r="BW295">
        <v>0.25</v>
      </c>
      <c r="BX295">
        <v>16</v>
      </c>
      <c r="BY295">
        <v>35.6</v>
      </c>
      <c r="BZ295">
        <v>0.7</v>
      </c>
      <c r="CA295">
        <v>16</v>
      </c>
      <c r="CB295" t="s">
        <v>113</v>
      </c>
      <c r="CC295" t="s">
        <v>711</v>
      </c>
    </row>
    <row r="296" spans="1:81" x14ac:dyDescent="0.25">
      <c r="A296" t="s">
        <v>81</v>
      </c>
      <c r="B296">
        <v>295</v>
      </c>
      <c r="C296">
        <v>50</v>
      </c>
      <c r="D296">
        <v>31</v>
      </c>
      <c r="E296">
        <v>52</v>
      </c>
      <c r="F296">
        <v>54</v>
      </c>
      <c r="G296">
        <v>157</v>
      </c>
      <c r="H296">
        <v>225</v>
      </c>
      <c r="I296" t="s">
        <v>322</v>
      </c>
      <c r="J296" t="s">
        <v>691</v>
      </c>
      <c r="M296" t="s">
        <v>85</v>
      </c>
      <c r="O296" t="s">
        <v>14</v>
      </c>
      <c r="P296" t="s">
        <v>703</v>
      </c>
      <c r="Q296" t="s">
        <v>704</v>
      </c>
      <c r="R296">
        <v>2018</v>
      </c>
      <c r="S296" t="s">
        <v>146</v>
      </c>
      <c r="U296" t="s">
        <v>705</v>
      </c>
      <c r="V296" t="s">
        <v>706</v>
      </c>
      <c r="W296" t="s">
        <v>91</v>
      </c>
      <c r="X296" t="s">
        <v>126</v>
      </c>
      <c r="Y296" t="s">
        <v>434</v>
      </c>
      <c r="Z296" t="s">
        <v>707</v>
      </c>
      <c r="AA296" t="s">
        <v>708</v>
      </c>
      <c r="AB296" t="s">
        <v>709</v>
      </c>
      <c r="AC296" t="s">
        <v>710</v>
      </c>
      <c r="AD296" t="s">
        <v>132</v>
      </c>
      <c r="AE296" t="s">
        <v>133</v>
      </c>
      <c r="AF296" t="s">
        <v>100</v>
      </c>
      <c r="AG296" t="s">
        <v>102</v>
      </c>
      <c r="AH296" t="s">
        <v>102</v>
      </c>
      <c r="AI296" t="s">
        <v>134</v>
      </c>
      <c r="AJ296" t="s">
        <v>135</v>
      </c>
      <c r="AM296" t="s">
        <v>136</v>
      </c>
      <c r="AN296" t="s">
        <v>700</v>
      </c>
      <c r="AU296">
        <v>1.2</v>
      </c>
      <c r="AW296" t="s">
        <v>108</v>
      </c>
      <c r="AX296">
        <v>22</v>
      </c>
      <c r="AY296" t="s">
        <v>103</v>
      </c>
      <c r="AZ296" t="s">
        <v>109</v>
      </c>
      <c r="BA296" t="s">
        <v>138</v>
      </c>
      <c r="BB296">
        <v>20</v>
      </c>
      <c r="BC296">
        <v>25</v>
      </c>
      <c r="BE296" t="s">
        <v>139</v>
      </c>
      <c r="BF296">
        <v>30</v>
      </c>
      <c r="BG296">
        <v>0.3</v>
      </c>
      <c r="BR296" t="s">
        <v>69</v>
      </c>
      <c r="BV296">
        <v>35.6</v>
      </c>
      <c r="BW296">
        <v>0.7</v>
      </c>
      <c r="BX296">
        <v>16</v>
      </c>
      <c r="BY296">
        <v>36.5</v>
      </c>
      <c r="BZ296">
        <v>0.31</v>
      </c>
      <c r="CA296">
        <v>16</v>
      </c>
      <c r="CB296" t="s">
        <v>113</v>
      </c>
      <c r="CC296" t="s">
        <v>711</v>
      </c>
    </row>
    <row r="297" spans="1:81" x14ac:dyDescent="0.25">
      <c r="A297" t="s">
        <v>81</v>
      </c>
      <c r="B297">
        <v>296</v>
      </c>
      <c r="C297">
        <v>50</v>
      </c>
      <c r="D297">
        <v>31</v>
      </c>
      <c r="E297">
        <v>52</v>
      </c>
      <c r="F297">
        <v>54</v>
      </c>
      <c r="G297">
        <v>157</v>
      </c>
      <c r="H297">
        <v>226</v>
      </c>
      <c r="I297" t="s">
        <v>322</v>
      </c>
      <c r="J297" t="s">
        <v>691</v>
      </c>
      <c r="M297" t="s">
        <v>85</v>
      </c>
      <c r="O297" t="s">
        <v>14</v>
      </c>
      <c r="P297" t="s">
        <v>703</v>
      </c>
      <c r="Q297" t="s">
        <v>704</v>
      </c>
      <c r="R297">
        <v>2018</v>
      </c>
      <c r="S297" t="s">
        <v>146</v>
      </c>
      <c r="U297" t="s">
        <v>705</v>
      </c>
      <c r="V297" t="s">
        <v>706</v>
      </c>
      <c r="W297" t="s">
        <v>91</v>
      </c>
      <c r="X297" t="s">
        <v>126</v>
      </c>
      <c r="Y297" t="s">
        <v>434</v>
      </c>
      <c r="Z297" t="s">
        <v>707</v>
      </c>
      <c r="AA297" t="s">
        <v>708</v>
      </c>
      <c r="AB297" t="s">
        <v>709</v>
      </c>
      <c r="AC297" t="s">
        <v>710</v>
      </c>
      <c r="AD297" t="s">
        <v>132</v>
      </c>
      <c r="AE297" t="s">
        <v>133</v>
      </c>
      <c r="AF297" t="s">
        <v>100</v>
      </c>
      <c r="AG297" t="s">
        <v>102</v>
      </c>
      <c r="AH297" t="s">
        <v>102</v>
      </c>
      <c r="AI297" t="s">
        <v>134</v>
      </c>
      <c r="AJ297" t="s">
        <v>135</v>
      </c>
      <c r="AM297" t="s">
        <v>136</v>
      </c>
      <c r="AN297" t="s">
        <v>700</v>
      </c>
      <c r="AU297">
        <v>1.2</v>
      </c>
      <c r="AW297" t="s">
        <v>108</v>
      </c>
      <c r="AX297">
        <v>22</v>
      </c>
      <c r="AY297" t="s">
        <v>103</v>
      </c>
      <c r="AZ297" t="s">
        <v>109</v>
      </c>
      <c r="BA297" t="s">
        <v>138</v>
      </c>
      <c r="BB297">
        <v>25</v>
      </c>
      <c r="BC297">
        <v>30</v>
      </c>
      <c r="BE297" t="s">
        <v>139</v>
      </c>
      <c r="BF297">
        <v>30</v>
      </c>
      <c r="BG297">
        <v>0.3</v>
      </c>
      <c r="BR297" t="s">
        <v>69</v>
      </c>
      <c r="BV297">
        <v>36.5</v>
      </c>
      <c r="BW297">
        <v>0.31</v>
      </c>
      <c r="BX297">
        <v>16</v>
      </c>
      <c r="BY297">
        <v>37.4</v>
      </c>
      <c r="BZ297">
        <v>0.41</v>
      </c>
      <c r="CA297">
        <v>16</v>
      </c>
      <c r="CB297" t="s">
        <v>113</v>
      </c>
      <c r="CC297" t="s">
        <v>711</v>
      </c>
    </row>
    <row r="298" spans="1:81" x14ac:dyDescent="0.25">
      <c r="A298" t="s">
        <v>81</v>
      </c>
      <c r="B298">
        <v>297</v>
      </c>
      <c r="C298">
        <v>50</v>
      </c>
      <c r="D298">
        <v>31</v>
      </c>
      <c r="E298">
        <v>53</v>
      </c>
      <c r="F298">
        <v>55</v>
      </c>
      <c r="G298">
        <v>158</v>
      </c>
      <c r="H298">
        <v>227</v>
      </c>
      <c r="I298" t="s">
        <v>322</v>
      </c>
      <c r="J298" t="s">
        <v>211</v>
      </c>
      <c r="M298" t="s">
        <v>85</v>
      </c>
      <c r="O298" t="s">
        <v>14</v>
      </c>
      <c r="P298" t="s">
        <v>703</v>
      </c>
      <c r="Q298" t="s">
        <v>704</v>
      </c>
      <c r="R298">
        <v>2018</v>
      </c>
      <c r="S298" t="s">
        <v>146</v>
      </c>
      <c r="U298" t="s">
        <v>705</v>
      </c>
      <c r="V298" t="s">
        <v>706</v>
      </c>
      <c r="W298" t="s">
        <v>91</v>
      </c>
      <c r="X298" t="s">
        <v>126</v>
      </c>
      <c r="Y298" t="s">
        <v>434</v>
      </c>
      <c r="Z298" t="s">
        <v>707</v>
      </c>
      <c r="AA298" t="s">
        <v>708</v>
      </c>
      <c r="AB298" t="s">
        <v>709</v>
      </c>
      <c r="AC298" t="s">
        <v>710</v>
      </c>
      <c r="AD298" t="s">
        <v>132</v>
      </c>
      <c r="AE298" t="s">
        <v>133</v>
      </c>
      <c r="AF298" t="s">
        <v>100</v>
      </c>
      <c r="AG298" t="s">
        <v>102</v>
      </c>
      <c r="AH298" t="s">
        <v>102</v>
      </c>
      <c r="AI298" t="s">
        <v>134</v>
      </c>
      <c r="AJ298" t="s">
        <v>135</v>
      </c>
      <c r="AM298" t="s">
        <v>136</v>
      </c>
      <c r="AN298" t="s">
        <v>700</v>
      </c>
      <c r="AU298">
        <v>1.1000000000000001</v>
      </c>
      <c r="AW298" t="s">
        <v>108</v>
      </c>
      <c r="AX298">
        <v>22</v>
      </c>
      <c r="AY298" t="s">
        <v>103</v>
      </c>
      <c r="AZ298" t="s">
        <v>212</v>
      </c>
      <c r="BA298" t="s">
        <v>142</v>
      </c>
      <c r="BB298">
        <v>15</v>
      </c>
      <c r="BC298">
        <v>20</v>
      </c>
      <c r="BE298" t="s">
        <v>139</v>
      </c>
      <c r="BF298">
        <v>30</v>
      </c>
      <c r="BH298">
        <v>96</v>
      </c>
      <c r="BI298">
        <v>5</v>
      </c>
      <c r="BJ298">
        <v>2</v>
      </c>
      <c r="BK298">
        <v>5</v>
      </c>
      <c r="BN298">
        <v>30</v>
      </c>
      <c r="BU298" t="s">
        <v>712</v>
      </c>
      <c r="BV298">
        <v>30.6</v>
      </c>
      <c r="BW298">
        <v>0.53061219999999998</v>
      </c>
      <c r="BX298">
        <v>10</v>
      </c>
      <c r="BY298">
        <v>31.85</v>
      </c>
      <c r="BZ298">
        <v>0.53571429999999998</v>
      </c>
      <c r="CA298">
        <v>10</v>
      </c>
      <c r="CB298" t="s">
        <v>215</v>
      </c>
      <c r="CC298" t="s">
        <v>702</v>
      </c>
    </row>
    <row r="299" spans="1:81" x14ac:dyDescent="0.25">
      <c r="A299" t="s">
        <v>81</v>
      </c>
      <c r="B299">
        <v>298</v>
      </c>
      <c r="C299">
        <v>50</v>
      </c>
      <c r="D299">
        <v>31</v>
      </c>
      <c r="E299">
        <v>53</v>
      </c>
      <c r="F299">
        <v>55</v>
      </c>
      <c r="G299">
        <v>158</v>
      </c>
      <c r="H299">
        <v>228</v>
      </c>
      <c r="I299" t="s">
        <v>322</v>
      </c>
      <c r="J299" t="s">
        <v>211</v>
      </c>
      <c r="M299" t="s">
        <v>85</v>
      </c>
      <c r="O299" t="s">
        <v>14</v>
      </c>
      <c r="P299" t="s">
        <v>703</v>
      </c>
      <c r="Q299" t="s">
        <v>704</v>
      </c>
      <c r="R299">
        <v>2018</v>
      </c>
      <c r="S299" t="s">
        <v>146</v>
      </c>
      <c r="U299" t="s">
        <v>705</v>
      </c>
      <c r="V299" t="s">
        <v>706</v>
      </c>
      <c r="W299" t="s">
        <v>91</v>
      </c>
      <c r="X299" t="s">
        <v>126</v>
      </c>
      <c r="Y299" t="s">
        <v>434</v>
      </c>
      <c r="Z299" t="s">
        <v>707</v>
      </c>
      <c r="AA299" t="s">
        <v>708</v>
      </c>
      <c r="AB299" t="s">
        <v>709</v>
      </c>
      <c r="AC299" t="s">
        <v>710</v>
      </c>
      <c r="AD299" t="s">
        <v>132</v>
      </c>
      <c r="AE299" t="s">
        <v>133</v>
      </c>
      <c r="AF299" t="s">
        <v>100</v>
      </c>
      <c r="AG299" t="s">
        <v>102</v>
      </c>
      <c r="AH299" t="s">
        <v>102</v>
      </c>
      <c r="AI299" t="s">
        <v>134</v>
      </c>
      <c r="AJ299" t="s">
        <v>135</v>
      </c>
      <c r="AM299" t="s">
        <v>136</v>
      </c>
      <c r="AN299" t="s">
        <v>700</v>
      </c>
      <c r="AU299">
        <v>1.1000000000000001</v>
      </c>
      <c r="AW299" t="s">
        <v>108</v>
      </c>
      <c r="AX299">
        <v>22</v>
      </c>
      <c r="AY299" t="s">
        <v>103</v>
      </c>
      <c r="AZ299" t="s">
        <v>212</v>
      </c>
      <c r="BA299" t="s">
        <v>142</v>
      </c>
      <c r="BB299">
        <v>20</v>
      </c>
      <c r="BC299">
        <v>25</v>
      </c>
      <c r="BE299" t="s">
        <v>139</v>
      </c>
      <c r="BF299">
        <v>30</v>
      </c>
      <c r="BH299">
        <v>96</v>
      </c>
      <c r="BI299">
        <v>5</v>
      </c>
      <c r="BJ299">
        <v>2</v>
      </c>
      <c r="BK299">
        <v>4</v>
      </c>
      <c r="BN299">
        <v>30</v>
      </c>
      <c r="BU299" t="s">
        <v>712</v>
      </c>
      <c r="BV299">
        <v>31.85</v>
      </c>
      <c r="BW299">
        <v>0.53571429999999998</v>
      </c>
      <c r="BX299">
        <v>10</v>
      </c>
      <c r="BY299">
        <v>34.299999999999997</v>
      </c>
      <c r="BZ299">
        <v>0.53571429999999998</v>
      </c>
      <c r="CA299">
        <v>10</v>
      </c>
      <c r="CB299" t="s">
        <v>215</v>
      </c>
      <c r="CC299" t="s">
        <v>702</v>
      </c>
    </row>
    <row r="300" spans="1:81" x14ac:dyDescent="0.25">
      <c r="A300" t="s">
        <v>81</v>
      </c>
      <c r="B300">
        <v>299</v>
      </c>
      <c r="C300">
        <v>50</v>
      </c>
      <c r="D300">
        <v>31</v>
      </c>
      <c r="E300">
        <v>53</v>
      </c>
      <c r="F300">
        <v>55</v>
      </c>
      <c r="G300">
        <v>158</v>
      </c>
      <c r="H300">
        <v>229</v>
      </c>
      <c r="I300" t="s">
        <v>322</v>
      </c>
      <c r="J300" t="s">
        <v>211</v>
      </c>
      <c r="M300" t="s">
        <v>85</v>
      </c>
      <c r="O300" t="s">
        <v>14</v>
      </c>
      <c r="P300" t="s">
        <v>703</v>
      </c>
      <c r="Q300" t="s">
        <v>704</v>
      </c>
      <c r="R300">
        <v>2018</v>
      </c>
      <c r="S300" t="s">
        <v>146</v>
      </c>
      <c r="U300" t="s">
        <v>705</v>
      </c>
      <c r="V300" t="s">
        <v>706</v>
      </c>
      <c r="W300" t="s">
        <v>91</v>
      </c>
      <c r="X300" t="s">
        <v>126</v>
      </c>
      <c r="Y300" t="s">
        <v>434</v>
      </c>
      <c r="Z300" t="s">
        <v>707</v>
      </c>
      <c r="AA300" t="s">
        <v>708</v>
      </c>
      <c r="AB300" t="s">
        <v>709</v>
      </c>
      <c r="AC300" t="s">
        <v>710</v>
      </c>
      <c r="AD300" t="s">
        <v>132</v>
      </c>
      <c r="AE300" t="s">
        <v>133</v>
      </c>
      <c r="AF300" t="s">
        <v>100</v>
      </c>
      <c r="AG300" t="s">
        <v>102</v>
      </c>
      <c r="AH300" t="s">
        <v>102</v>
      </c>
      <c r="AI300" t="s">
        <v>134</v>
      </c>
      <c r="AJ300" t="s">
        <v>135</v>
      </c>
      <c r="AM300" t="s">
        <v>136</v>
      </c>
      <c r="AN300" t="s">
        <v>700</v>
      </c>
      <c r="AU300">
        <v>1.1000000000000001</v>
      </c>
      <c r="AW300" t="s">
        <v>108</v>
      </c>
      <c r="AX300">
        <v>22</v>
      </c>
      <c r="AY300" t="s">
        <v>103</v>
      </c>
      <c r="AZ300" t="s">
        <v>212</v>
      </c>
      <c r="BA300" t="s">
        <v>142</v>
      </c>
      <c r="BB300">
        <v>25</v>
      </c>
      <c r="BC300">
        <v>30</v>
      </c>
      <c r="BE300" t="s">
        <v>139</v>
      </c>
      <c r="BF300">
        <v>30</v>
      </c>
      <c r="BH300">
        <v>96</v>
      </c>
      <c r="BI300">
        <v>5</v>
      </c>
      <c r="BJ300">
        <v>2</v>
      </c>
      <c r="BK300">
        <v>3</v>
      </c>
      <c r="BN300">
        <v>30</v>
      </c>
      <c r="BU300" t="s">
        <v>712</v>
      </c>
      <c r="BV300">
        <v>34.299999999999997</v>
      </c>
      <c r="BW300">
        <v>0.53571429999999998</v>
      </c>
      <c r="BX300">
        <v>10</v>
      </c>
      <c r="BY300">
        <v>37.19</v>
      </c>
      <c r="BZ300">
        <v>0.54081630000000003</v>
      </c>
      <c r="CA300">
        <v>10</v>
      </c>
      <c r="CB300" t="s">
        <v>215</v>
      </c>
      <c r="CC300" t="s">
        <v>702</v>
      </c>
    </row>
    <row r="301" spans="1:81" x14ac:dyDescent="0.25">
      <c r="A301" t="s">
        <v>81</v>
      </c>
      <c r="B301">
        <v>300</v>
      </c>
      <c r="C301">
        <v>54</v>
      </c>
      <c r="D301">
        <v>51</v>
      </c>
      <c r="E301">
        <v>54</v>
      </c>
      <c r="F301">
        <v>56</v>
      </c>
      <c r="G301">
        <v>159</v>
      </c>
      <c r="H301">
        <v>230</v>
      </c>
      <c r="I301" t="s">
        <v>322</v>
      </c>
      <c r="J301" t="s">
        <v>184</v>
      </c>
      <c r="L301" t="s">
        <v>713</v>
      </c>
      <c r="M301" t="s">
        <v>85</v>
      </c>
      <c r="O301" t="s">
        <v>14</v>
      </c>
      <c r="P301" t="s">
        <v>714</v>
      </c>
      <c r="Q301" t="s">
        <v>715</v>
      </c>
      <c r="R301">
        <v>2019</v>
      </c>
      <c r="S301" t="s">
        <v>716</v>
      </c>
      <c r="U301" t="s">
        <v>717</v>
      </c>
      <c r="V301" t="s">
        <v>718</v>
      </c>
      <c r="W301" t="s">
        <v>91</v>
      </c>
      <c r="X301" t="s">
        <v>126</v>
      </c>
      <c r="Y301" t="s">
        <v>434</v>
      </c>
      <c r="Z301" t="s">
        <v>719</v>
      </c>
      <c r="AA301" t="s">
        <v>720</v>
      </c>
      <c r="AB301" t="s">
        <v>721</v>
      </c>
      <c r="AC301" t="s">
        <v>722</v>
      </c>
      <c r="AD301" t="s">
        <v>132</v>
      </c>
      <c r="AE301" t="s">
        <v>133</v>
      </c>
      <c r="AF301" t="s">
        <v>100</v>
      </c>
      <c r="AG301" t="s">
        <v>102</v>
      </c>
      <c r="AH301" t="s">
        <v>102</v>
      </c>
      <c r="AI301" t="s">
        <v>134</v>
      </c>
      <c r="AJ301" t="s">
        <v>135</v>
      </c>
      <c r="AM301" t="s">
        <v>136</v>
      </c>
      <c r="AN301" t="s">
        <v>106</v>
      </c>
      <c r="AU301">
        <v>20</v>
      </c>
      <c r="AW301" t="s">
        <v>108</v>
      </c>
      <c r="AX301">
        <v>28</v>
      </c>
      <c r="AY301" t="s">
        <v>103</v>
      </c>
      <c r="AZ301" t="s">
        <v>109</v>
      </c>
      <c r="BA301" t="s">
        <v>138</v>
      </c>
      <c r="BB301">
        <v>20</v>
      </c>
      <c r="BC301">
        <v>23</v>
      </c>
      <c r="BE301" t="s">
        <v>139</v>
      </c>
      <c r="BF301">
        <v>21</v>
      </c>
      <c r="BG301">
        <v>1</v>
      </c>
      <c r="BM301">
        <v>5</v>
      </c>
      <c r="BV301">
        <v>35.955219999999997</v>
      </c>
      <c r="BW301">
        <v>0.4378109</v>
      </c>
      <c r="BX301">
        <v>20</v>
      </c>
      <c r="BY301">
        <v>36.940300000000001</v>
      </c>
      <c r="BZ301">
        <v>0.60199000000000003</v>
      </c>
      <c r="CA301">
        <v>20</v>
      </c>
      <c r="CB301" t="s">
        <v>113</v>
      </c>
      <c r="CC301" t="s">
        <v>451</v>
      </c>
    </row>
    <row r="302" spans="1:81" x14ac:dyDescent="0.25">
      <c r="A302" t="s">
        <v>81</v>
      </c>
      <c r="B302">
        <v>301</v>
      </c>
      <c r="C302">
        <v>54</v>
      </c>
      <c r="D302">
        <v>51</v>
      </c>
      <c r="E302">
        <v>54</v>
      </c>
      <c r="F302">
        <v>56</v>
      </c>
      <c r="G302">
        <v>159</v>
      </c>
      <c r="H302">
        <v>231</v>
      </c>
      <c r="I302" t="s">
        <v>322</v>
      </c>
      <c r="J302" t="s">
        <v>184</v>
      </c>
      <c r="L302" t="s">
        <v>713</v>
      </c>
      <c r="M302" t="s">
        <v>85</v>
      </c>
      <c r="O302" t="s">
        <v>14</v>
      </c>
      <c r="P302" t="s">
        <v>714</v>
      </c>
      <c r="Q302" t="s">
        <v>715</v>
      </c>
      <c r="R302">
        <v>2019</v>
      </c>
      <c r="S302" t="s">
        <v>716</v>
      </c>
      <c r="U302" t="s">
        <v>717</v>
      </c>
      <c r="V302" t="s">
        <v>718</v>
      </c>
      <c r="W302" t="s">
        <v>91</v>
      </c>
      <c r="X302" t="s">
        <v>126</v>
      </c>
      <c r="Y302" t="s">
        <v>434</v>
      </c>
      <c r="Z302" t="s">
        <v>719</v>
      </c>
      <c r="AA302" t="s">
        <v>720</v>
      </c>
      <c r="AB302" t="s">
        <v>721</v>
      </c>
      <c r="AC302" t="s">
        <v>722</v>
      </c>
      <c r="AD302" t="s">
        <v>132</v>
      </c>
      <c r="AE302" t="s">
        <v>133</v>
      </c>
      <c r="AF302" t="s">
        <v>100</v>
      </c>
      <c r="AG302" t="s">
        <v>102</v>
      </c>
      <c r="AH302" t="s">
        <v>102</v>
      </c>
      <c r="AI302" t="s">
        <v>134</v>
      </c>
      <c r="AJ302" t="s">
        <v>135</v>
      </c>
      <c r="AM302" t="s">
        <v>136</v>
      </c>
      <c r="AN302" t="s">
        <v>106</v>
      </c>
      <c r="AU302">
        <v>20</v>
      </c>
      <c r="AW302" t="s">
        <v>108</v>
      </c>
      <c r="AX302">
        <v>28</v>
      </c>
      <c r="AY302" t="s">
        <v>103</v>
      </c>
      <c r="AZ302" t="s">
        <v>109</v>
      </c>
      <c r="BA302" t="s">
        <v>138</v>
      </c>
      <c r="BB302">
        <v>23</v>
      </c>
      <c r="BC302">
        <v>26</v>
      </c>
      <c r="BE302" t="s">
        <v>139</v>
      </c>
      <c r="BF302">
        <v>21</v>
      </c>
      <c r="BG302">
        <v>1</v>
      </c>
      <c r="BM302">
        <v>5</v>
      </c>
      <c r="BV302">
        <v>36.940300000000001</v>
      </c>
      <c r="BW302">
        <v>0.60199000000000003</v>
      </c>
      <c r="BX302">
        <v>20</v>
      </c>
      <c r="BY302">
        <v>38.144280000000002</v>
      </c>
      <c r="BZ302">
        <v>0.71144280000000004</v>
      </c>
      <c r="CA302">
        <v>20</v>
      </c>
      <c r="CB302" t="s">
        <v>113</v>
      </c>
      <c r="CC302" t="s">
        <v>451</v>
      </c>
    </row>
    <row r="303" spans="1:81" x14ac:dyDescent="0.25">
      <c r="A303" t="s">
        <v>81</v>
      </c>
      <c r="B303">
        <v>302</v>
      </c>
      <c r="C303">
        <v>54</v>
      </c>
      <c r="D303">
        <v>51</v>
      </c>
      <c r="E303">
        <v>54</v>
      </c>
      <c r="F303">
        <v>56</v>
      </c>
      <c r="G303">
        <v>159</v>
      </c>
      <c r="H303">
        <v>232</v>
      </c>
      <c r="I303" t="s">
        <v>322</v>
      </c>
      <c r="J303" t="s">
        <v>184</v>
      </c>
      <c r="L303" t="s">
        <v>713</v>
      </c>
      <c r="M303" t="s">
        <v>85</v>
      </c>
      <c r="O303" t="s">
        <v>14</v>
      </c>
      <c r="P303" t="s">
        <v>714</v>
      </c>
      <c r="Q303" t="s">
        <v>715</v>
      </c>
      <c r="R303">
        <v>2019</v>
      </c>
      <c r="S303" t="s">
        <v>716</v>
      </c>
      <c r="U303" t="s">
        <v>717</v>
      </c>
      <c r="V303" t="s">
        <v>718</v>
      </c>
      <c r="W303" t="s">
        <v>91</v>
      </c>
      <c r="X303" t="s">
        <v>126</v>
      </c>
      <c r="Y303" t="s">
        <v>434</v>
      </c>
      <c r="Z303" t="s">
        <v>719</v>
      </c>
      <c r="AA303" t="s">
        <v>720</v>
      </c>
      <c r="AB303" t="s">
        <v>721</v>
      </c>
      <c r="AC303" t="s">
        <v>722</v>
      </c>
      <c r="AD303" t="s">
        <v>132</v>
      </c>
      <c r="AE303" t="s">
        <v>133</v>
      </c>
      <c r="AF303" t="s">
        <v>100</v>
      </c>
      <c r="AG303" t="s">
        <v>102</v>
      </c>
      <c r="AH303" t="s">
        <v>102</v>
      </c>
      <c r="AI303" t="s">
        <v>134</v>
      </c>
      <c r="AJ303" t="s">
        <v>135</v>
      </c>
      <c r="AM303" t="s">
        <v>136</v>
      </c>
      <c r="AN303" t="s">
        <v>106</v>
      </c>
      <c r="AU303">
        <v>20</v>
      </c>
      <c r="AW303" t="s">
        <v>108</v>
      </c>
      <c r="AX303">
        <v>28</v>
      </c>
      <c r="AY303" t="s">
        <v>103</v>
      </c>
      <c r="AZ303" t="s">
        <v>109</v>
      </c>
      <c r="BA303" t="s">
        <v>138</v>
      </c>
      <c r="BB303">
        <v>26</v>
      </c>
      <c r="BC303">
        <v>29</v>
      </c>
      <c r="BE303" t="s">
        <v>139</v>
      </c>
      <c r="BF303">
        <v>21</v>
      </c>
      <c r="BG303">
        <v>1</v>
      </c>
      <c r="BM303">
        <v>5</v>
      </c>
      <c r="BV303">
        <v>38.144280000000002</v>
      </c>
      <c r="BW303">
        <v>0.71144280000000004</v>
      </c>
      <c r="BX303">
        <v>20</v>
      </c>
      <c r="BY303">
        <v>39.567160000000001</v>
      </c>
      <c r="BZ303">
        <v>0.3830846</v>
      </c>
      <c r="CA303">
        <v>20</v>
      </c>
      <c r="CB303" t="s">
        <v>113</v>
      </c>
      <c r="CC303" t="s">
        <v>451</v>
      </c>
    </row>
    <row r="304" spans="1:81" x14ac:dyDescent="0.25">
      <c r="A304" t="s">
        <v>81</v>
      </c>
      <c r="B304">
        <v>303</v>
      </c>
      <c r="C304">
        <v>54</v>
      </c>
      <c r="D304">
        <v>51</v>
      </c>
      <c r="E304">
        <v>54</v>
      </c>
      <c r="F304">
        <v>56</v>
      </c>
      <c r="G304">
        <v>159</v>
      </c>
      <c r="H304">
        <v>233</v>
      </c>
      <c r="I304" t="s">
        <v>322</v>
      </c>
      <c r="J304" t="s">
        <v>184</v>
      </c>
      <c r="L304" t="s">
        <v>713</v>
      </c>
      <c r="M304" t="s">
        <v>85</v>
      </c>
      <c r="O304" t="s">
        <v>14</v>
      </c>
      <c r="P304" t="s">
        <v>714</v>
      </c>
      <c r="Q304" t="s">
        <v>715</v>
      </c>
      <c r="R304">
        <v>2019</v>
      </c>
      <c r="S304" t="s">
        <v>716</v>
      </c>
      <c r="U304" t="s">
        <v>717</v>
      </c>
      <c r="V304" t="s">
        <v>718</v>
      </c>
      <c r="W304" t="s">
        <v>91</v>
      </c>
      <c r="X304" t="s">
        <v>126</v>
      </c>
      <c r="Y304" t="s">
        <v>434</v>
      </c>
      <c r="Z304" t="s">
        <v>719</v>
      </c>
      <c r="AA304" t="s">
        <v>720</v>
      </c>
      <c r="AB304" t="s">
        <v>721</v>
      </c>
      <c r="AC304" t="s">
        <v>722</v>
      </c>
      <c r="AD304" t="s">
        <v>132</v>
      </c>
      <c r="AE304" t="s">
        <v>133</v>
      </c>
      <c r="AF304" t="s">
        <v>100</v>
      </c>
      <c r="AG304" t="s">
        <v>102</v>
      </c>
      <c r="AH304" t="s">
        <v>102</v>
      </c>
      <c r="AI304" t="s">
        <v>134</v>
      </c>
      <c r="AJ304" t="s">
        <v>135</v>
      </c>
      <c r="AM304" t="s">
        <v>136</v>
      </c>
      <c r="AN304" t="s">
        <v>106</v>
      </c>
      <c r="AU304">
        <v>20</v>
      </c>
      <c r="AW304" t="s">
        <v>108</v>
      </c>
      <c r="AX304">
        <v>28</v>
      </c>
      <c r="AY304" t="s">
        <v>103</v>
      </c>
      <c r="AZ304" t="s">
        <v>109</v>
      </c>
      <c r="BA304" t="s">
        <v>138</v>
      </c>
      <c r="BB304">
        <v>29</v>
      </c>
      <c r="BC304">
        <v>32</v>
      </c>
      <c r="BE304" t="s">
        <v>139</v>
      </c>
      <c r="BF304">
        <v>21</v>
      </c>
      <c r="BG304">
        <v>1</v>
      </c>
      <c r="BM304">
        <v>5</v>
      </c>
      <c r="BV304">
        <v>39.567160000000001</v>
      </c>
      <c r="BW304">
        <v>0.3830846</v>
      </c>
      <c r="BX304">
        <v>20</v>
      </c>
      <c r="BY304">
        <v>40.497509999999998</v>
      </c>
      <c r="BZ304">
        <v>0.3830846</v>
      </c>
      <c r="CA304">
        <v>20</v>
      </c>
      <c r="CB304" t="s">
        <v>113</v>
      </c>
      <c r="CC304" t="s">
        <v>451</v>
      </c>
    </row>
    <row r="305" spans="1:81" x14ac:dyDescent="0.25">
      <c r="A305" t="s">
        <v>81</v>
      </c>
      <c r="B305">
        <v>304</v>
      </c>
      <c r="C305">
        <v>55</v>
      </c>
      <c r="D305">
        <v>52</v>
      </c>
      <c r="E305">
        <v>55</v>
      </c>
      <c r="F305">
        <v>57</v>
      </c>
      <c r="G305">
        <v>160</v>
      </c>
      <c r="H305">
        <v>234</v>
      </c>
      <c r="I305" t="s">
        <v>322</v>
      </c>
      <c r="J305" t="s">
        <v>220</v>
      </c>
      <c r="L305" t="s">
        <v>723</v>
      </c>
      <c r="M305" t="s">
        <v>85</v>
      </c>
      <c r="O305" t="s">
        <v>14</v>
      </c>
      <c r="P305" t="s">
        <v>724</v>
      </c>
      <c r="Q305" t="s">
        <v>725</v>
      </c>
      <c r="R305">
        <v>2017</v>
      </c>
      <c r="S305" t="s">
        <v>726</v>
      </c>
      <c r="U305" t="s">
        <v>727</v>
      </c>
      <c r="V305" t="s">
        <v>728</v>
      </c>
      <c r="W305" t="s">
        <v>91</v>
      </c>
      <c r="X305" t="s">
        <v>126</v>
      </c>
      <c r="Y305" t="s">
        <v>434</v>
      </c>
      <c r="Z305" t="s">
        <v>729</v>
      </c>
      <c r="AA305" t="s">
        <v>730</v>
      </c>
      <c r="AB305" t="s">
        <v>731</v>
      </c>
      <c r="AC305" t="s">
        <v>732</v>
      </c>
      <c r="AD305" t="s">
        <v>132</v>
      </c>
      <c r="AE305" t="s">
        <v>133</v>
      </c>
      <c r="AF305" t="s">
        <v>100</v>
      </c>
      <c r="AG305" t="s">
        <v>102</v>
      </c>
      <c r="AH305" t="s">
        <v>102</v>
      </c>
      <c r="AI305" t="s">
        <v>134</v>
      </c>
      <c r="AJ305" t="s">
        <v>135</v>
      </c>
      <c r="AM305" t="s">
        <v>136</v>
      </c>
      <c r="AN305" t="s">
        <v>106</v>
      </c>
      <c r="AW305" t="s">
        <v>108</v>
      </c>
      <c r="AX305">
        <v>17</v>
      </c>
      <c r="AY305" t="s">
        <v>134</v>
      </c>
      <c r="AZ305" t="s">
        <v>109</v>
      </c>
      <c r="BA305" t="s">
        <v>138</v>
      </c>
      <c r="BB305">
        <v>14</v>
      </c>
      <c r="BC305">
        <v>17</v>
      </c>
      <c r="BE305" t="s">
        <v>139</v>
      </c>
      <c r="BF305">
        <v>90</v>
      </c>
      <c r="BG305">
        <v>1</v>
      </c>
      <c r="BP305">
        <v>10</v>
      </c>
      <c r="BR305" t="s">
        <v>69</v>
      </c>
      <c r="BS305" t="s">
        <v>515</v>
      </c>
      <c r="BU305" t="s">
        <v>733</v>
      </c>
      <c r="BV305">
        <v>29.391909999999999</v>
      </c>
      <c r="BW305">
        <v>1.3255318</v>
      </c>
      <c r="BX305">
        <v>11</v>
      </c>
      <c r="BY305">
        <v>32.574829999999999</v>
      </c>
      <c r="BZ305">
        <v>0.49645850000000002</v>
      </c>
      <c r="CA305">
        <v>11</v>
      </c>
      <c r="CB305" t="s">
        <v>113</v>
      </c>
      <c r="CC305" t="s">
        <v>451</v>
      </c>
    </row>
    <row r="306" spans="1:81" x14ac:dyDescent="0.25">
      <c r="A306" t="s">
        <v>81</v>
      </c>
      <c r="B306">
        <v>305</v>
      </c>
      <c r="C306">
        <v>55</v>
      </c>
      <c r="D306">
        <v>52</v>
      </c>
      <c r="E306">
        <v>55</v>
      </c>
      <c r="F306">
        <v>57</v>
      </c>
      <c r="G306">
        <v>160</v>
      </c>
      <c r="H306">
        <v>235</v>
      </c>
      <c r="I306" t="s">
        <v>322</v>
      </c>
      <c r="J306" t="s">
        <v>220</v>
      </c>
      <c r="L306" t="s">
        <v>723</v>
      </c>
      <c r="M306" t="s">
        <v>85</v>
      </c>
      <c r="O306" t="s">
        <v>14</v>
      </c>
      <c r="P306" t="s">
        <v>724</v>
      </c>
      <c r="Q306" t="s">
        <v>725</v>
      </c>
      <c r="R306">
        <v>2017</v>
      </c>
      <c r="S306" t="s">
        <v>726</v>
      </c>
      <c r="U306" t="s">
        <v>727</v>
      </c>
      <c r="V306" t="s">
        <v>728</v>
      </c>
      <c r="W306" t="s">
        <v>91</v>
      </c>
      <c r="X306" t="s">
        <v>126</v>
      </c>
      <c r="Y306" t="s">
        <v>434</v>
      </c>
      <c r="Z306" t="s">
        <v>729</v>
      </c>
      <c r="AA306" t="s">
        <v>730</v>
      </c>
      <c r="AB306" t="s">
        <v>731</v>
      </c>
      <c r="AC306" t="s">
        <v>732</v>
      </c>
      <c r="AD306" t="s">
        <v>132</v>
      </c>
      <c r="AE306" t="s">
        <v>133</v>
      </c>
      <c r="AF306" t="s">
        <v>100</v>
      </c>
      <c r="AG306" t="s">
        <v>102</v>
      </c>
      <c r="AH306" t="s">
        <v>102</v>
      </c>
      <c r="AI306" t="s">
        <v>134</v>
      </c>
      <c r="AJ306" t="s">
        <v>135</v>
      </c>
      <c r="AM306" t="s">
        <v>136</v>
      </c>
      <c r="AN306" t="s">
        <v>106</v>
      </c>
      <c r="AW306" t="s">
        <v>108</v>
      </c>
      <c r="AX306">
        <v>17</v>
      </c>
      <c r="AY306" t="s">
        <v>134</v>
      </c>
      <c r="AZ306" t="s">
        <v>109</v>
      </c>
      <c r="BA306" t="s">
        <v>138</v>
      </c>
      <c r="BB306">
        <v>17</v>
      </c>
      <c r="BC306">
        <v>22</v>
      </c>
      <c r="BE306" t="s">
        <v>139</v>
      </c>
      <c r="BF306">
        <v>90</v>
      </c>
      <c r="BG306">
        <v>1</v>
      </c>
      <c r="BP306">
        <v>10</v>
      </c>
      <c r="BR306" t="s">
        <v>69</v>
      </c>
      <c r="BS306" t="s">
        <v>515</v>
      </c>
      <c r="BU306" t="s">
        <v>733</v>
      </c>
      <c r="BV306">
        <v>32.574829999999999</v>
      </c>
      <c r="BW306">
        <v>0.49645850000000002</v>
      </c>
      <c r="BX306">
        <v>11</v>
      </c>
      <c r="BY306">
        <v>32.169069999999998</v>
      </c>
      <c r="BZ306">
        <v>0.92820259999999999</v>
      </c>
      <c r="CA306">
        <v>11</v>
      </c>
      <c r="CB306" t="s">
        <v>113</v>
      </c>
      <c r="CC306" t="s">
        <v>451</v>
      </c>
    </row>
    <row r="307" spans="1:81" x14ac:dyDescent="0.25">
      <c r="A307" t="s">
        <v>81</v>
      </c>
      <c r="B307">
        <v>306</v>
      </c>
      <c r="C307">
        <v>57</v>
      </c>
      <c r="D307">
        <v>10</v>
      </c>
      <c r="E307">
        <v>56</v>
      </c>
      <c r="F307">
        <v>58</v>
      </c>
      <c r="G307">
        <v>161</v>
      </c>
      <c r="H307">
        <v>236</v>
      </c>
      <c r="J307" t="s">
        <v>424</v>
      </c>
      <c r="L307" t="s">
        <v>734</v>
      </c>
      <c r="M307" t="s">
        <v>85</v>
      </c>
      <c r="O307" t="s">
        <v>14</v>
      </c>
      <c r="P307" t="s">
        <v>735</v>
      </c>
      <c r="Q307" t="s">
        <v>736</v>
      </c>
      <c r="R307">
        <v>1998</v>
      </c>
      <c r="S307" t="s">
        <v>737</v>
      </c>
      <c r="U307" t="s">
        <v>738</v>
      </c>
      <c r="V307" t="s">
        <v>739</v>
      </c>
      <c r="W307" t="s">
        <v>91</v>
      </c>
      <c r="X307" t="s">
        <v>126</v>
      </c>
      <c r="Y307" t="s">
        <v>190</v>
      </c>
      <c r="Z307" t="s">
        <v>191</v>
      </c>
      <c r="AA307" t="s">
        <v>192</v>
      </c>
      <c r="AB307" t="s">
        <v>227</v>
      </c>
      <c r="AC307" t="s">
        <v>228</v>
      </c>
      <c r="AD307" t="s">
        <v>132</v>
      </c>
      <c r="AE307" t="s">
        <v>133</v>
      </c>
      <c r="AF307" t="s">
        <v>100</v>
      </c>
      <c r="AG307" t="s">
        <v>102</v>
      </c>
      <c r="AH307" t="s">
        <v>102</v>
      </c>
      <c r="AI307" t="s">
        <v>134</v>
      </c>
      <c r="AJ307" t="s">
        <v>135</v>
      </c>
      <c r="AM307" t="s">
        <v>136</v>
      </c>
      <c r="AN307" t="s">
        <v>700</v>
      </c>
      <c r="AW307" t="s">
        <v>108</v>
      </c>
      <c r="AZ307" t="s">
        <v>109</v>
      </c>
      <c r="BA307" t="s">
        <v>142</v>
      </c>
      <c r="BB307">
        <v>15</v>
      </c>
      <c r="BC307">
        <v>16.899999999999999</v>
      </c>
      <c r="BE307" t="s">
        <v>111</v>
      </c>
      <c r="BF307">
        <v>90</v>
      </c>
      <c r="BG307">
        <f>1/120</f>
        <v>8.3333333333333332E-3</v>
      </c>
      <c r="BO307">
        <v>7.87</v>
      </c>
      <c r="BR307" t="s">
        <v>449</v>
      </c>
      <c r="BS307" t="s">
        <v>740</v>
      </c>
      <c r="BU307" t="s">
        <v>741</v>
      </c>
      <c r="BV307">
        <v>29.713840000000001</v>
      </c>
      <c r="BW307">
        <v>0.4891934</v>
      </c>
      <c r="BX307">
        <v>8</v>
      </c>
      <c r="BY307">
        <v>30.18553</v>
      </c>
      <c r="BZ307">
        <v>0.57813760000000003</v>
      </c>
      <c r="CA307">
        <v>8</v>
      </c>
      <c r="CB307" t="s">
        <v>113</v>
      </c>
      <c r="CC307" t="s">
        <v>742</v>
      </c>
    </row>
    <row r="308" spans="1:81" x14ac:dyDescent="0.25">
      <c r="A308" t="s">
        <v>81</v>
      </c>
      <c r="B308">
        <v>307</v>
      </c>
      <c r="C308">
        <v>57</v>
      </c>
      <c r="D308">
        <v>10</v>
      </c>
      <c r="E308">
        <v>56</v>
      </c>
      <c r="F308">
        <v>58</v>
      </c>
      <c r="G308">
        <v>162</v>
      </c>
      <c r="H308">
        <v>237</v>
      </c>
      <c r="J308" t="s">
        <v>424</v>
      </c>
      <c r="L308" t="s">
        <v>734</v>
      </c>
      <c r="M308" t="s">
        <v>85</v>
      </c>
      <c r="O308" t="s">
        <v>14</v>
      </c>
      <c r="P308" t="s">
        <v>735</v>
      </c>
      <c r="Q308" t="s">
        <v>736</v>
      </c>
      <c r="R308">
        <v>1998</v>
      </c>
      <c r="S308" t="s">
        <v>737</v>
      </c>
      <c r="U308" t="s">
        <v>738</v>
      </c>
      <c r="V308" t="s">
        <v>739</v>
      </c>
      <c r="W308" t="s">
        <v>91</v>
      </c>
      <c r="X308" t="s">
        <v>126</v>
      </c>
      <c r="Y308" t="s">
        <v>190</v>
      </c>
      <c r="Z308" t="s">
        <v>191</v>
      </c>
      <c r="AA308" t="s">
        <v>192</v>
      </c>
      <c r="AB308" t="s">
        <v>227</v>
      </c>
      <c r="AC308" t="s">
        <v>228</v>
      </c>
      <c r="AD308" t="s">
        <v>132</v>
      </c>
      <c r="AE308" t="s">
        <v>133</v>
      </c>
      <c r="AF308" t="s">
        <v>100</v>
      </c>
      <c r="AG308" t="s">
        <v>102</v>
      </c>
      <c r="AH308" t="s">
        <v>102</v>
      </c>
      <c r="AI308" t="s">
        <v>134</v>
      </c>
      <c r="AJ308" t="s">
        <v>135</v>
      </c>
      <c r="AM308" t="s">
        <v>136</v>
      </c>
      <c r="AN308" t="s">
        <v>700</v>
      </c>
      <c r="AW308" t="s">
        <v>108</v>
      </c>
      <c r="AZ308" t="s">
        <v>109</v>
      </c>
      <c r="BA308" t="s">
        <v>142</v>
      </c>
      <c r="BB308">
        <v>4</v>
      </c>
      <c r="BC308">
        <v>6</v>
      </c>
      <c r="BE308" t="s">
        <v>111</v>
      </c>
      <c r="BF308">
        <v>90</v>
      </c>
      <c r="BG308">
        <f>1/60</f>
        <v>1.6666666666666666E-2</v>
      </c>
      <c r="BO308">
        <v>7.83</v>
      </c>
      <c r="BR308" t="s">
        <v>449</v>
      </c>
      <c r="BS308" t="s">
        <v>740</v>
      </c>
      <c r="BU308" t="s">
        <v>743</v>
      </c>
      <c r="BV308">
        <v>27.952829999999999</v>
      </c>
      <c r="BW308">
        <v>0.4891934</v>
      </c>
      <c r="BX308">
        <v>8</v>
      </c>
      <c r="BY308">
        <v>28.408809999999999</v>
      </c>
      <c r="BZ308">
        <v>0.13341639999999999</v>
      </c>
      <c r="CA308">
        <v>8</v>
      </c>
      <c r="CB308" t="s">
        <v>113</v>
      </c>
      <c r="CC308" t="s">
        <v>742</v>
      </c>
    </row>
    <row r="309" spans="1:81" x14ac:dyDescent="0.25">
      <c r="A309" t="s">
        <v>81</v>
      </c>
      <c r="B309">
        <v>308</v>
      </c>
      <c r="C309">
        <v>57</v>
      </c>
      <c r="D309">
        <v>10</v>
      </c>
      <c r="E309">
        <v>56</v>
      </c>
      <c r="F309">
        <v>58</v>
      </c>
      <c r="G309">
        <v>163</v>
      </c>
      <c r="H309">
        <v>238</v>
      </c>
      <c r="J309" t="s">
        <v>424</v>
      </c>
      <c r="L309" t="s">
        <v>734</v>
      </c>
      <c r="M309" t="s">
        <v>85</v>
      </c>
      <c r="O309" t="s">
        <v>14</v>
      </c>
      <c r="P309" t="s">
        <v>735</v>
      </c>
      <c r="Q309" t="s">
        <v>736</v>
      </c>
      <c r="R309">
        <v>1998</v>
      </c>
      <c r="S309" t="s">
        <v>737</v>
      </c>
      <c r="U309" t="s">
        <v>738</v>
      </c>
      <c r="V309" t="s">
        <v>739</v>
      </c>
      <c r="W309" t="s">
        <v>91</v>
      </c>
      <c r="X309" t="s">
        <v>126</v>
      </c>
      <c r="Y309" t="s">
        <v>190</v>
      </c>
      <c r="Z309" t="s">
        <v>191</v>
      </c>
      <c r="AA309" t="s">
        <v>192</v>
      </c>
      <c r="AB309" t="s">
        <v>227</v>
      </c>
      <c r="AC309" t="s">
        <v>228</v>
      </c>
      <c r="AD309" t="s">
        <v>132</v>
      </c>
      <c r="AE309" t="s">
        <v>133</v>
      </c>
      <c r="AF309" t="s">
        <v>100</v>
      </c>
      <c r="AG309" t="s">
        <v>102</v>
      </c>
      <c r="AH309" t="s">
        <v>102</v>
      </c>
      <c r="AI309" t="s">
        <v>134</v>
      </c>
      <c r="AJ309" t="s">
        <v>135</v>
      </c>
      <c r="AM309" t="s">
        <v>136</v>
      </c>
      <c r="AN309" t="s">
        <v>700</v>
      </c>
      <c r="AW309" t="s">
        <v>108</v>
      </c>
      <c r="AZ309" t="s">
        <v>109</v>
      </c>
      <c r="BA309" t="s">
        <v>142</v>
      </c>
      <c r="BB309">
        <v>14</v>
      </c>
      <c r="BC309">
        <v>15.9</v>
      </c>
      <c r="BE309" t="s">
        <v>111</v>
      </c>
      <c r="BF309">
        <v>90</v>
      </c>
      <c r="BG309">
        <f>1/120</f>
        <v>8.3333333333333332E-3</v>
      </c>
      <c r="BO309">
        <v>7.85</v>
      </c>
      <c r="BR309" t="s">
        <v>449</v>
      </c>
      <c r="BS309" t="s">
        <v>740</v>
      </c>
      <c r="BU309" t="s">
        <v>744</v>
      </c>
      <c r="BV309">
        <v>29.430820000000001</v>
      </c>
      <c r="BW309">
        <v>0.53366550000000001</v>
      </c>
      <c r="BX309">
        <v>8</v>
      </c>
      <c r="BY309">
        <v>29.729559999999999</v>
      </c>
      <c r="BZ309">
        <v>0.40024910000000002</v>
      </c>
      <c r="CA309">
        <v>8</v>
      </c>
      <c r="CB309" t="s">
        <v>113</v>
      </c>
      <c r="CC309" t="s">
        <v>742</v>
      </c>
    </row>
    <row r="310" spans="1:81" x14ac:dyDescent="0.25">
      <c r="A310" t="s">
        <v>81</v>
      </c>
      <c r="B310">
        <v>309</v>
      </c>
      <c r="C310">
        <v>58</v>
      </c>
      <c r="D310">
        <v>54</v>
      </c>
      <c r="E310">
        <v>57</v>
      </c>
      <c r="F310">
        <v>59</v>
      </c>
      <c r="G310">
        <v>164</v>
      </c>
      <c r="H310">
        <v>239</v>
      </c>
      <c r="I310" t="s">
        <v>745</v>
      </c>
      <c r="J310" t="s">
        <v>83</v>
      </c>
      <c r="M310" t="s">
        <v>746</v>
      </c>
      <c r="N310" t="s">
        <v>747</v>
      </c>
      <c r="O310" t="s">
        <v>14</v>
      </c>
      <c r="P310" t="s">
        <v>748</v>
      </c>
      <c r="Q310" t="s">
        <v>749</v>
      </c>
      <c r="R310">
        <v>2018</v>
      </c>
      <c r="S310" t="s">
        <v>750</v>
      </c>
      <c r="U310" t="s">
        <v>751</v>
      </c>
      <c r="V310" t="s">
        <v>752</v>
      </c>
      <c r="W310" t="s">
        <v>91</v>
      </c>
      <c r="X310" t="s">
        <v>92</v>
      </c>
      <c r="Y310" t="s">
        <v>93</v>
      </c>
      <c r="Z310" t="s">
        <v>753</v>
      </c>
      <c r="AA310" t="s">
        <v>754</v>
      </c>
      <c r="AB310" t="s">
        <v>755</v>
      </c>
      <c r="AC310" t="s">
        <v>756</v>
      </c>
      <c r="AD310" t="s">
        <v>98</v>
      </c>
      <c r="AE310" t="s">
        <v>99</v>
      </c>
      <c r="AF310" t="s">
        <v>100</v>
      </c>
      <c r="AG310" t="s">
        <v>101</v>
      </c>
      <c r="AH310" t="s">
        <v>102</v>
      </c>
      <c r="AI310" t="s">
        <v>103</v>
      </c>
      <c r="AJ310" t="s">
        <v>104</v>
      </c>
      <c r="AK310">
        <f>30.5+2</f>
        <v>32.5</v>
      </c>
      <c r="AL310">
        <v>21</v>
      </c>
      <c r="AM310" t="s">
        <v>105</v>
      </c>
      <c r="AN310" t="s">
        <v>106</v>
      </c>
      <c r="AO310">
        <v>-19.36</v>
      </c>
      <c r="AP310">
        <v>146.47999999999999</v>
      </c>
      <c r="AQ310">
        <v>182</v>
      </c>
      <c r="AS310">
        <v>2013</v>
      </c>
      <c r="AU310">
        <v>0.27</v>
      </c>
      <c r="AV310">
        <f>30+2</f>
        <v>32</v>
      </c>
      <c r="AW310" t="s">
        <v>578</v>
      </c>
      <c r="AZ310" t="s">
        <v>109</v>
      </c>
      <c r="BA310" t="s">
        <v>110</v>
      </c>
      <c r="BB310">
        <v>23</v>
      </c>
      <c r="BC310">
        <v>26</v>
      </c>
      <c r="BE310" t="s">
        <v>139</v>
      </c>
      <c r="BG310">
        <v>1</v>
      </c>
      <c r="BU310" t="s">
        <v>757</v>
      </c>
      <c r="BV310">
        <v>38.488030000000002</v>
      </c>
      <c r="BW310">
        <v>0.7913076</v>
      </c>
      <c r="BX310">
        <v>142</v>
      </c>
      <c r="BY310">
        <v>38.549999999999997</v>
      </c>
      <c r="BZ310">
        <v>0.86389570000000004</v>
      </c>
      <c r="CA310">
        <v>96</v>
      </c>
      <c r="CB310" t="s">
        <v>113</v>
      </c>
      <c r="CC310" t="s">
        <v>365</v>
      </c>
    </row>
    <row r="311" spans="1:81" x14ac:dyDescent="0.25">
      <c r="A311" t="s">
        <v>81</v>
      </c>
      <c r="B311">
        <v>310</v>
      </c>
      <c r="C311">
        <v>58</v>
      </c>
      <c r="D311">
        <v>54</v>
      </c>
      <c r="E311">
        <v>57</v>
      </c>
      <c r="F311">
        <v>59</v>
      </c>
      <c r="G311">
        <v>165</v>
      </c>
      <c r="H311">
        <v>239</v>
      </c>
      <c r="I311" t="s">
        <v>745</v>
      </c>
      <c r="J311" t="s">
        <v>83</v>
      </c>
      <c r="M311" t="s">
        <v>746</v>
      </c>
      <c r="N311" t="s">
        <v>747</v>
      </c>
      <c r="O311" t="s">
        <v>14</v>
      </c>
      <c r="P311" t="s">
        <v>748</v>
      </c>
      <c r="Q311" t="s">
        <v>749</v>
      </c>
      <c r="R311">
        <v>2018</v>
      </c>
      <c r="S311" t="s">
        <v>750</v>
      </c>
      <c r="U311" t="s">
        <v>751</v>
      </c>
      <c r="V311" t="s">
        <v>752</v>
      </c>
      <c r="W311" t="s">
        <v>91</v>
      </c>
      <c r="X311" t="s">
        <v>92</v>
      </c>
      <c r="Y311" t="s">
        <v>93</v>
      </c>
      <c r="Z311" t="s">
        <v>753</v>
      </c>
      <c r="AA311" t="s">
        <v>754</v>
      </c>
      <c r="AB311" t="s">
        <v>755</v>
      </c>
      <c r="AC311" t="s">
        <v>756</v>
      </c>
      <c r="AD311" t="s">
        <v>98</v>
      </c>
      <c r="AE311" t="s">
        <v>99</v>
      </c>
      <c r="AF311" t="s">
        <v>100</v>
      </c>
      <c r="AG311" t="s">
        <v>101</v>
      </c>
      <c r="AH311" t="s">
        <v>262</v>
      </c>
      <c r="AI311" t="s">
        <v>103</v>
      </c>
      <c r="AJ311" t="s">
        <v>104</v>
      </c>
      <c r="AL311">
        <v>21</v>
      </c>
      <c r="AM311" t="s">
        <v>105</v>
      </c>
      <c r="AN311" t="s">
        <v>106</v>
      </c>
      <c r="AO311">
        <v>-19.36</v>
      </c>
      <c r="AP311">
        <v>146.47999999999999</v>
      </c>
      <c r="AQ311">
        <v>182</v>
      </c>
      <c r="AS311">
        <v>2013</v>
      </c>
      <c r="AU311">
        <v>1.31</v>
      </c>
      <c r="AW311" t="s">
        <v>578</v>
      </c>
      <c r="AZ311" t="s">
        <v>109</v>
      </c>
      <c r="BA311" t="s">
        <v>110</v>
      </c>
      <c r="BB311">
        <v>23</v>
      </c>
      <c r="BC311">
        <v>26</v>
      </c>
      <c r="BE311" t="s">
        <v>139</v>
      </c>
      <c r="BG311">
        <v>1</v>
      </c>
      <c r="BU311" t="s">
        <v>758</v>
      </c>
      <c r="BV311">
        <v>38.941180000000003</v>
      </c>
      <c r="BW311">
        <v>0.51392380000000004</v>
      </c>
      <c r="BX311">
        <v>85</v>
      </c>
      <c r="BY311">
        <v>38.863509999999998</v>
      </c>
      <c r="BZ311">
        <v>0.55826889999999996</v>
      </c>
      <c r="CA311">
        <v>74</v>
      </c>
      <c r="CB311" t="s">
        <v>113</v>
      </c>
      <c r="CC311" t="s">
        <v>365</v>
      </c>
    </row>
    <row r="312" spans="1:81" x14ac:dyDescent="0.25">
      <c r="A312" t="s">
        <v>81</v>
      </c>
      <c r="B312">
        <v>311</v>
      </c>
      <c r="C312">
        <v>58</v>
      </c>
      <c r="D312">
        <v>54</v>
      </c>
      <c r="E312">
        <v>58</v>
      </c>
      <c r="F312">
        <v>60</v>
      </c>
      <c r="G312">
        <v>166</v>
      </c>
      <c r="H312">
        <v>240</v>
      </c>
      <c r="I312" t="s">
        <v>745</v>
      </c>
      <c r="J312" t="s">
        <v>83</v>
      </c>
      <c r="M312" t="s">
        <v>746</v>
      </c>
      <c r="N312" t="s">
        <v>747</v>
      </c>
      <c r="O312" t="s">
        <v>14</v>
      </c>
      <c r="P312" t="s">
        <v>748</v>
      </c>
      <c r="Q312" t="s">
        <v>749</v>
      </c>
      <c r="R312">
        <v>2018</v>
      </c>
      <c r="S312" t="s">
        <v>750</v>
      </c>
      <c r="U312" t="s">
        <v>751</v>
      </c>
      <c r="V312" t="s">
        <v>752</v>
      </c>
      <c r="W312" t="s">
        <v>91</v>
      </c>
      <c r="X312" t="s">
        <v>92</v>
      </c>
      <c r="Y312" t="s">
        <v>93</v>
      </c>
      <c r="Z312" t="s">
        <v>753</v>
      </c>
      <c r="AA312" t="s">
        <v>754</v>
      </c>
      <c r="AB312" t="s">
        <v>755</v>
      </c>
      <c r="AC312" t="s">
        <v>756</v>
      </c>
      <c r="AD312" t="s">
        <v>98</v>
      </c>
      <c r="AE312" t="s">
        <v>99</v>
      </c>
      <c r="AF312" t="s">
        <v>100</v>
      </c>
      <c r="AG312" t="s">
        <v>101</v>
      </c>
      <c r="AH312" t="s">
        <v>102</v>
      </c>
      <c r="AI312" t="s">
        <v>103</v>
      </c>
      <c r="AJ312" t="s">
        <v>104</v>
      </c>
      <c r="AK312">
        <f>30.5+2</f>
        <v>32.5</v>
      </c>
      <c r="AL312">
        <v>21</v>
      </c>
      <c r="AM312" t="s">
        <v>105</v>
      </c>
      <c r="AN312" t="s">
        <v>106</v>
      </c>
      <c r="AO312">
        <v>-19.02</v>
      </c>
      <c r="AP312">
        <v>146.15</v>
      </c>
      <c r="AQ312">
        <v>960</v>
      </c>
      <c r="AS312">
        <v>2013</v>
      </c>
      <c r="AU312">
        <v>0.24</v>
      </c>
      <c r="AV312">
        <f>30+2</f>
        <v>32</v>
      </c>
      <c r="AW312" t="s">
        <v>578</v>
      </c>
      <c r="AZ312" t="s">
        <v>109</v>
      </c>
      <c r="BA312" t="s">
        <v>110</v>
      </c>
      <c r="BB312">
        <v>23</v>
      </c>
      <c r="BC312">
        <v>26</v>
      </c>
      <c r="BE312" t="s">
        <v>139</v>
      </c>
      <c r="BG312">
        <v>1</v>
      </c>
      <c r="BU312" t="s">
        <v>759</v>
      </c>
      <c r="BV312">
        <v>38.652729999999998</v>
      </c>
      <c r="BW312">
        <v>0.65936399999999995</v>
      </c>
      <c r="BX312">
        <v>55</v>
      </c>
      <c r="BY312">
        <v>38.878790000000002</v>
      </c>
      <c r="BZ312">
        <v>0.7188348</v>
      </c>
      <c r="CA312">
        <v>33</v>
      </c>
      <c r="CB312" t="s">
        <v>113</v>
      </c>
      <c r="CC312" t="s">
        <v>365</v>
      </c>
    </row>
    <row r="313" spans="1:81" x14ac:dyDescent="0.25">
      <c r="A313" t="s">
        <v>81</v>
      </c>
      <c r="B313">
        <v>312</v>
      </c>
      <c r="C313">
        <v>58</v>
      </c>
      <c r="D313">
        <v>54</v>
      </c>
      <c r="E313">
        <v>58</v>
      </c>
      <c r="F313">
        <v>60</v>
      </c>
      <c r="G313">
        <v>167</v>
      </c>
      <c r="H313">
        <v>240</v>
      </c>
      <c r="I313" t="s">
        <v>745</v>
      </c>
      <c r="J313" t="s">
        <v>83</v>
      </c>
      <c r="M313" t="s">
        <v>746</v>
      </c>
      <c r="N313" t="s">
        <v>747</v>
      </c>
      <c r="O313" t="s">
        <v>14</v>
      </c>
      <c r="P313" t="s">
        <v>748</v>
      </c>
      <c r="Q313" t="s">
        <v>749</v>
      </c>
      <c r="R313">
        <v>2018</v>
      </c>
      <c r="S313" t="s">
        <v>750</v>
      </c>
      <c r="U313" t="s">
        <v>751</v>
      </c>
      <c r="V313" t="s">
        <v>752</v>
      </c>
      <c r="W313" t="s">
        <v>91</v>
      </c>
      <c r="X313" t="s">
        <v>92</v>
      </c>
      <c r="Y313" t="s">
        <v>93</v>
      </c>
      <c r="Z313" t="s">
        <v>753</v>
      </c>
      <c r="AA313" t="s">
        <v>754</v>
      </c>
      <c r="AB313" t="s">
        <v>755</v>
      </c>
      <c r="AC313" t="s">
        <v>756</v>
      </c>
      <c r="AD313" t="s">
        <v>98</v>
      </c>
      <c r="AE313" t="s">
        <v>99</v>
      </c>
      <c r="AF313" t="s">
        <v>100</v>
      </c>
      <c r="AG313" t="s">
        <v>101</v>
      </c>
      <c r="AH313" t="s">
        <v>262</v>
      </c>
      <c r="AI313" t="s">
        <v>103</v>
      </c>
      <c r="AJ313" t="s">
        <v>104</v>
      </c>
      <c r="AL313">
        <v>21</v>
      </c>
      <c r="AM313" t="s">
        <v>105</v>
      </c>
      <c r="AN313" t="s">
        <v>106</v>
      </c>
      <c r="AO313">
        <v>-19.02</v>
      </c>
      <c r="AP313">
        <v>146.15</v>
      </c>
      <c r="AQ313">
        <v>960</v>
      </c>
      <c r="AS313">
        <v>2013</v>
      </c>
      <c r="AU313">
        <v>1.1200000000000001</v>
      </c>
      <c r="AW313" t="s">
        <v>578</v>
      </c>
      <c r="AZ313" t="s">
        <v>109</v>
      </c>
      <c r="BA313" t="s">
        <v>110</v>
      </c>
      <c r="BB313">
        <v>23</v>
      </c>
      <c r="BC313">
        <v>26</v>
      </c>
      <c r="BE313" t="s">
        <v>139</v>
      </c>
      <c r="BG313">
        <v>1</v>
      </c>
      <c r="BU313" t="s">
        <v>760</v>
      </c>
      <c r="BV313">
        <v>39.121879999999997</v>
      </c>
      <c r="BW313">
        <v>0.46262530000000002</v>
      </c>
      <c r="BX313">
        <v>32</v>
      </c>
      <c r="BY313">
        <v>39.125</v>
      </c>
      <c r="BZ313">
        <v>0.4063639</v>
      </c>
      <c r="CA313">
        <v>20</v>
      </c>
      <c r="CB313" t="s">
        <v>113</v>
      </c>
      <c r="CC313" t="s">
        <v>365</v>
      </c>
    </row>
    <row r="314" spans="1:81" x14ac:dyDescent="0.25">
      <c r="A314" t="s">
        <v>81</v>
      </c>
      <c r="B314">
        <v>313</v>
      </c>
      <c r="C314">
        <v>60</v>
      </c>
      <c r="D314">
        <v>56</v>
      </c>
      <c r="E314">
        <v>59</v>
      </c>
      <c r="F314">
        <v>61</v>
      </c>
      <c r="G314">
        <v>168</v>
      </c>
      <c r="H314">
        <v>241</v>
      </c>
      <c r="J314" t="s">
        <v>691</v>
      </c>
      <c r="M314" t="s">
        <v>85</v>
      </c>
      <c r="O314" t="s">
        <v>14</v>
      </c>
      <c r="P314" t="s">
        <v>761</v>
      </c>
      <c r="Q314" t="s">
        <v>762</v>
      </c>
      <c r="R314">
        <v>2020</v>
      </c>
      <c r="S314" t="s">
        <v>763</v>
      </c>
      <c r="U314" t="s">
        <v>764</v>
      </c>
      <c r="V314" t="s">
        <v>765</v>
      </c>
      <c r="W314" t="s">
        <v>91</v>
      </c>
      <c r="X314" t="s">
        <v>92</v>
      </c>
      <c r="Y314" t="s">
        <v>345</v>
      </c>
      <c r="Z314" t="s">
        <v>346</v>
      </c>
      <c r="AA314" t="s">
        <v>347</v>
      </c>
      <c r="AB314" t="s">
        <v>766</v>
      </c>
      <c r="AC314" t="s">
        <v>767</v>
      </c>
      <c r="AD314" t="s">
        <v>98</v>
      </c>
      <c r="AE314" t="s">
        <v>99</v>
      </c>
      <c r="AF314" t="s">
        <v>100</v>
      </c>
      <c r="AG314" t="s">
        <v>102</v>
      </c>
      <c r="AH314" t="s">
        <v>102</v>
      </c>
      <c r="AI314" t="s">
        <v>134</v>
      </c>
      <c r="AJ314" t="s">
        <v>135</v>
      </c>
      <c r="AM314" t="s">
        <v>136</v>
      </c>
      <c r="AN314" t="s">
        <v>106</v>
      </c>
      <c r="AU314">
        <f>(7.35+7.15)/2</f>
        <v>7.25</v>
      </c>
      <c r="AW314" t="s">
        <v>578</v>
      </c>
      <c r="AX314">
        <v>27</v>
      </c>
      <c r="AY314" t="s">
        <v>103</v>
      </c>
      <c r="AZ314" t="s">
        <v>109</v>
      </c>
      <c r="BA314" t="s">
        <v>110</v>
      </c>
      <c r="BB314">
        <v>25</v>
      </c>
      <c r="BC314">
        <v>30</v>
      </c>
      <c r="BE314" t="s">
        <v>139</v>
      </c>
      <c r="BF314">
        <v>28</v>
      </c>
      <c r="BG314">
        <v>0.1</v>
      </c>
      <c r="BP314">
        <v>11</v>
      </c>
      <c r="BS314" t="s">
        <v>768</v>
      </c>
      <c r="BU314" t="s">
        <v>769</v>
      </c>
      <c r="BV314">
        <v>40.32</v>
      </c>
      <c r="BW314">
        <v>2.8494896999999999</v>
      </c>
      <c r="BX314">
        <v>6</v>
      </c>
      <c r="BY314">
        <v>41.87</v>
      </c>
      <c r="BZ314">
        <v>2.6994897</v>
      </c>
      <c r="CA314">
        <v>6</v>
      </c>
      <c r="CB314" t="s">
        <v>113</v>
      </c>
      <c r="CC314" t="s">
        <v>770</v>
      </c>
    </row>
    <row r="315" spans="1:81" x14ac:dyDescent="0.25">
      <c r="A315" t="s">
        <v>81</v>
      </c>
      <c r="B315">
        <v>314</v>
      </c>
      <c r="C315">
        <v>61</v>
      </c>
      <c r="D315">
        <v>57</v>
      </c>
      <c r="E315">
        <v>60</v>
      </c>
      <c r="F315">
        <v>62</v>
      </c>
      <c r="G315">
        <v>169</v>
      </c>
      <c r="H315">
        <v>242</v>
      </c>
      <c r="I315" t="s">
        <v>771</v>
      </c>
      <c r="J315" t="s">
        <v>220</v>
      </c>
      <c r="L315" t="s">
        <v>772</v>
      </c>
      <c r="M315" t="s">
        <v>85</v>
      </c>
      <c r="O315" t="s">
        <v>14</v>
      </c>
      <c r="P315" t="s">
        <v>773</v>
      </c>
      <c r="Q315" t="s">
        <v>774</v>
      </c>
      <c r="R315">
        <v>2012</v>
      </c>
      <c r="S315" t="s">
        <v>775</v>
      </c>
      <c r="U315" t="s">
        <v>776</v>
      </c>
      <c r="V315" t="s">
        <v>777</v>
      </c>
      <c r="W315" t="s">
        <v>170</v>
      </c>
      <c r="X315" t="s">
        <v>171</v>
      </c>
      <c r="Y315" t="s">
        <v>778</v>
      </c>
      <c r="Z315" t="s">
        <v>779</v>
      </c>
      <c r="AA315" t="s">
        <v>780</v>
      </c>
      <c r="AB315" t="s">
        <v>781</v>
      </c>
      <c r="AC315" t="s">
        <v>782</v>
      </c>
      <c r="AD315" t="s">
        <v>98</v>
      </c>
      <c r="AE315" t="s">
        <v>177</v>
      </c>
      <c r="AF315" t="s">
        <v>260</v>
      </c>
      <c r="AG315" t="s">
        <v>102</v>
      </c>
      <c r="AH315" t="s">
        <v>102</v>
      </c>
      <c r="AI315" t="s">
        <v>134</v>
      </c>
      <c r="AJ315" t="s">
        <v>135</v>
      </c>
      <c r="AM315" t="s">
        <v>136</v>
      </c>
      <c r="AN315" t="s">
        <v>106</v>
      </c>
      <c r="AW315" t="s">
        <v>108</v>
      </c>
      <c r="AX315">
        <v>20</v>
      </c>
      <c r="AY315" t="s">
        <v>103</v>
      </c>
      <c r="AZ315" t="s">
        <v>109</v>
      </c>
      <c r="BA315" t="s">
        <v>180</v>
      </c>
      <c r="BB315">
        <v>13</v>
      </c>
      <c r="BC315">
        <v>22</v>
      </c>
      <c r="BE315" t="s">
        <v>139</v>
      </c>
      <c r="BF315">
        <v>1</v>
      </c>
      <c r="BG315">
        <v>0.1</v>
      </c>
      <c r="BL315">
        <v>60</v>
      </c>
      <c r="BP315">
        <v>16</v>
      </c>
      <c r="BU315" t="s">
        <v>783</v>
      </c>
      <c r="BV315">
        <v>30.454339999999998</v>
      </c>
      <c r="BW315">
        <v>1.2472160000000001</v>
      </c>
      <c r="BX315">
        <v>35</v>
      </c>
      <c r="BY315">
        <v>31.897549999999999</v>
      </c>
      <c r="BZ315">
        <v>1.3184855</v>
      </c>
      <c r="CA315">
        <v>35</v>
      </c>
      <c r="CB315" t="s">
        <v>113</v>
      </c>
      <c r="CC315" t="s">
        <v>784</v>
      </c>
    </row>
    <row r="316" spans="1:81" x14ac:dyDescent="0.25">
      <c r="A316" t="s">
        <v>81</v>
      </c>
      <c r="B316">
        <v>315</v>
      </c>
      <c r="C316">
        <v>61</v>
      </c>
      <c r="D316">
        <v>57</v>
      </c>
      <c r="E316">
        <v>60</v>
      </c>
      <c r="F316">
        <v>62</v>
      </c>
      <c r="G316">
        <v>169</v>
      </c>
      <c r="H316">
        <v>243</v>
      </c>
      <c r="I316" t="s">
        <v>771</v>
      </c>
      <c r="J316" t="s">
        <v>220</v>
      </c>
      <c r="L316" t="s">
        <v>772</v>
      </c>
      <c r="M316" t="s">
        <v>85</v>
      </c>
      <c r="O316" t="s">
        <v>14</v>
      </c>
      <c r="P316" t="s">
        <v>773</v>
      </c>
      <c r="Q316" t="s">
        <v>774</v>
      </c>
      <c r="R316">
        <v>2012</v>
      </c>
      <c r="S316" t="s">
        <v>775</v>
      </c>
      <c r="U316" t="s">
        <v>776</v>
      </c>
      <c r="V316" t="s">
        <v>777</v>
      </c>
      <c r="W316" t="s">
        <v>170</v>
      </c>
      <c r="X316" t="s">
        <v>171</v>
      </c>
      <c r="Y316" t="s">
        <v>778</v>
      </c>
      <c r="Z316" t="s">
        <v>779</v>
      </c>
      <c r="AA316" t="s">
        <v>780</v>
      </c>
      <c r="AB316" t="s">
        <v>781</v>
      </c>
      <c r="AC316" t="s">
        <v>782</v>
      </c>
      <c r="AD316" t="s">
        <v>98</v>
      </c>
      <c r="AE316" t="s">
        <v>177</v>
      </c>
      <c r="AF316" t="s">
        <v>260</v>
      </c>
      <c r="AG316" t="s">
        <v>102</v>
      </c>
      <c r="AH316" t="s">
        <v>102</v>
      </c>
      <c r="AI316" t="s">
        <v>134</v>
      </c>
      <c r="AJ316" t="s">
        <v>135</v>
      </c>
      <c r="AM316" t="s">
        <v>136</v>
      </c>
      <c r="AN316" t="s">
        <v>106</v>
      </c>
      <c r="AW316" t="s">
        <v>108</v>
      </c>
      <c r="AX316">
        <v>20</v>
      </c>
      <c r="AY316" t="s">
        <v>103</v>
      </c>
      <c r="AZ316" t="s">
        <v>109</v>
      </c>
      <c r="BA316" t="s">
        <v>180</v>
      </c>
      <c r="BB316">
        <v>22</v>
      </c>
      <c r="BC316">
        <v>32</v>
      </c>
      <c r="BE316" t="s">
        <v>139</v>
      </c>
      <c r="BF316">
        <v>1</v>
      </c>
      <c r="BG316">
        <v>0.1</v>
      </c>
      <c r="BL316">
        <v>60</v>
      </c>
      <c r="BP316">
        <v>16</v>
      </c>
      <c r="BU316" t="s">
        <v>783</v>
      </c>
      <c r="BV316">
        <v>31.897549999999999</v>
      </c>
      <c r="BW316">
        <v>1.3184855</v>
      </c>
      <c r="BX316">
        <v>35</v>
      </c>
      <c r="BY316">
        <v>31.648109999999999</v>
      </c>
      <c r="BZ316">
        <v>1.9955457000000001</v>
      </c>
      <c r="CA316">
        <v>35</v>
      </c>
      <c r="CB316" t="s">
        <v>113</v>
      </c>
      <c r="CC316" t="s">
        <v>784</v>
      </c>
    </row>
    <row r="317" spans="1:81" x14ac:dyDescent="0.25">
      <c r="A317" t="s">
        <v>81</v>
      </c>
      <c r="B317">
        <v>316</v>
      </c>
      <c r="C317">
        <v>64</v>
      </c>
      <c r="D317">
        <v>60</v>
      </c>
      <c r="E317">
        <v>61</v>
      </c>
      <c r="F317">
        <v>63</v>
      </c>
      <c r="G317">
        <v>170</v>
      </c>
      <c r="H317">
        <v>244</v>
      </c>
      <c r="I317" t="s">
        <v>785</v>
      </c>
      <c r="J317" t="s">
        <v>786</v>
      </c>
      <c r="L317" t="s">
        <v>787</v>
      </c>
      <c r="M317" t="s">
        <v>85</v>
      </c>
      <c r="O317" t="s">
        <v>14</v>
      </c>
      <c r="P317" t="s">
        <v>788</v>
      </c>
      <c r="Q317" t="s">
        <v>789</v>
      </c>
      <c r="R317">
        <v>2019</v>
      </c>
      <c r="S317" t="s">
        <v>790</v>
      </c>
      <c r="U317" t="s">
        <v>791</v>
      </c>
      <c r="V317" t="s">
        <v>792</v>
      </c>
      <c r="W317" t="s">
        <v>91</v>
      </c>
      <c r="X317" t="s">
        <v>126</v>
      </c>
      <c r="Y317" t="s">
        <v>793</v>
      </c>
      <c r="Z317" t="s">
        <v>794</v>
      </c>
      <c r="AA317" t="s">
        <v>795</v>
      </c>
      <c r="AB317" t="s">
        <v>796</v>
      </c>
      <c r="AC317" t="s">
        <v>797</v>
      </c>
      <c r="AD317" t="s">
        <v>132</v>
      </c>
      <c r="AE317" t="s">
        <v>133</v>
      </c>
      <c r="AF317" t="s">
        <v>260</v>
      </c>
      <c r="AG317" t="s">
        <v>102</v>
      </c>
      <c r="AH317" t="s">
        <v>102</v>
      </c>
      <c r="AI317" t="s">
        <v>134</v>
      </c>
      <c r="AJ317" t="s">
        <v>135</v>
      </c>
      <c r="AM317" t="s">
        <v>136</v>
      </c>
      <c r="AN317" t="s">
        <v>106</v>
      </c>
      <c r="AO317">
        <v>0.40388888890000002</v>
      </c>
      <c r="AP317">
        <v>30.5333333333</v>
      </c>
      <c r="AQ317">
        <v>1254</v>
      </c>
      <c r="AR317" t="s">
        <v>317</v>
      </c>
      <c r="AS317">
        <v>2015</v>
      </c>
      <c r="AT317">
        <f>(1.29+1.52)/2</f>
        <v>1.405</v>
      </c>
      <c r="AU317">
        <f>(0.095+0.132)/2</f>
        <v>0.1135</v>
      </c>
      <c r="AV317">
        <f>(36+35.9)/2</f>
        <v>35.950000000000003</v>
      </c>
      <c r="AW317" t="s">
        <v>108</v>
      </c>
      <c r="AX317">
        <v>24.5</v>
      </c>
      <c r="AY317" t="s">
        <v>103</v>
      </c>
      <c r="AZ317" t="s">
        <v>109</v>
      </c>
      <c r="BA317" t="s">
        <v>138</v>
      </c>
      <c r="BB317">
        <v>21.07</v>
      </c>
      <c r="BC317">
        <v>28.95</v>
      </c>
      <c r="BD317">
        <f>(0.1+0.2)/2</f>
        <v>0.15000000000000002</v>
      </c>
      <c r="BE317" t="s">
        <v>139</v>
      </c>
      <c r="BF317">
        <v>30</v>
      </c>
      <c r="BG317">
        <v>0.3</v>
      </c>
      <c r="BM317">
        <f>(7.7*95.77)/90</f>
        <v>8.193655555555555</v>
      </c>
      <c r="BU317" t="s">
        <v>798</v>
      </c>
      <c r="BV317">
        <v>36.773719999999997</v>
      </c>
      <c r="BW317">
        <v>1.1148545000000001</v>
      </c>
      <c r="BX317">
        <v>18</v>
      </c>
      <c r="BY317">
        <v>40.332120000000003</v>
      </c>
      <c r="BZ317">
        <v>1.1454040999999999</v>
      </c>
      <c r="CA317">
        <v>19</v>
      </c>
      <c r="CB317" t="s">
        <v>113</v>
      </c>
      <c r="CC317" t="s">
        <v>451</v>
      </c>
    </row>
    <row r="318" spans="1:81" x14ac:dyDescent="0.25">
      <c r="A318" t="s">
        <v>81</v>
      </c>
      <c r="B318">
        <v>317</v>
      </c>
      <c r="C318">
        <v>64</v>
      </c>
      <c r="D318">
        <v>60</v>
      </c>
      <c r="E318">
        <v>61</v>
      </c>
      <c r="F318">
        <v>63</v>
      </c>
      <c r="G318">
        <v>171</v>
      </c>
      <c r="H318">
        <v>244</v>
      </c>
      <c r="I318" t="s">
        <v>785</v>
      </c>
      <c r="J318" t="s">
        <v>799</v>
      </c>
      <c r="L318" t="s">
        <v>800</v>
      </c>
      <c r="M318" t="s">
        <v>85</v>
      </c>
      <c r="O318" t="s">
        <v>14</v>
      </c>
      <c r="P318" t="s">
        <v>788</v>
      </c>
      <c r="Q318" t="s">
        <v>789</v>
      </c>
      <c r="R318">
        <v>2019</v>
      </c>
      <c r="S318" t="s">
        <v>790</v>
      </c>
      <c r="U318" t="s">
        <v>791</v>
      </c>
      <c r="V318" t="s">
        <v>792</v>
      </c>
      <c r="W318" t="s">
        <v>91</v>
      </c>
      <c r="X318" t="s">
        <v>126</v>
      </c>
      <c r="Y318" t="s">
        <v>793</v>
      </c>
      <c r="Z318" t="s">
        <v>794</v>
      </c>
      <c r="AA318" t="s">
        <v>795</v>
      </c>
      <c r="AB318" t="s">
        <v>796</v>
      </c>
      <c r="AC318" t="s">
        <v>797</v>
      </c>
      <c r="AD318" t="s">
        <v>132</v>
      </c>
      <c r="AE318" t="s">
        <v>133</v>
      </c>
      <c r="AF318" t="s">
        <v>260</v>
      </c>
      <c r="AG318" t="s">
        <v>102</v>
      </c>
      <c r="AH318" t="s">
        <v>102</v>
      </c>
      <c r="AI318" t="s">
        <v>134</v>
      </c>
      <c r="AJ318" t="s">
        <v>135</v>
      </c>
      <c r="AM318" t="s">
        <v>136</v>
      </c>
      <c r="AN318" t="s">
        <v>106</v>
      </c>
      <c r="AO318">
        <v>0.40388888890000002</v>
      </c>
      <c r="AP318">
        <v>30.5333333333</v>
      </c>
      <c r="AQ318">
        <v>1254</v>
      </c>
      <c r="AR318" t="s">
        <v>317</v>
      </c>
      <c r="AS318">
        <v>2015</v>
      </c>
      <c r="AT318">
        <f>(1.29+1.52)/2</f>
        <v>1.405</v>
      </c>
      <c r="AU318">
        <f>(0.095+0.132)/2</f>
        <v>0.1135</v>
      </c>
      <c r="AV318">
        <f>(36+35.9)/2</f>
        <v>35.950000000000003</v>
      </c>
      <c r="AW318" t="s">
        <v>108</v>
      </c>
      <c r="AX318">
        <v>24.5</v>
      </c>
      <c r="AY318" t="s">
        <v>103</v>
      </c>
      <c r="AZ318" t="s">
        <v>109</v>
      </c>
      <c r="BA318" t="s">
        <v>180</v>
      </c>
      <c r="BB318">
        <v>21.07</v>
      </c>
      <c r="BC318">
        <v>28.95</v>
      </c>
      <c r="BD318">
        <f>(0.1+0.2)/2</f>
        <v>0.15000000000000002</v>
      </c>
      <c r="BE318" t="s">
        <v>139</v>
      </c>
      <c r="BF318">
        <v>30</v>
      </c>
      <c r="BG318">
        <v>0.3</v>
      </c>
      <c r="BM318">
        <f>(7.7*95.77)/90</f>
        <v>8.193655555555555</v>
      </c>
      <c r="BU318" t="s">
        <v>801</v>
      </c>
      <c r="BV318">
        <v>35.012839999999997</v>
      </c>
      <c r="BW318">
        <v>1.0742833000000001</v>
      </c>
      <c r="BX318">
        <v>18</v>
      </c>
      <c r="BY318">
        <v>38.5578</v>
      </c>
      <c r="BZ318">
        <v>1.0557333</v>
      </c>
      <c r="CA318">
        <v>19</v>
      </c>
      <c r="CB318" t="s">
        <v>113</v>
      </c>
      <c r="CC318" t="s">
        <v>451</v>
      </c>
    </row>
    <row r="319" spans="1:81" x14ac:dyDescent="0.25">
      <c r="A319" t="s">
        <v>81</v>
      </c>
      <c r="B319">
        <v>318</v>
      </c>
      <c r="C319">
        <v>64</v>
      </c>
      <c r="D319">
        <v>60</v>
      </c>
      <c r="E319">
        <v>61</v>
      </c>
      <c r="F319">
        <v>63</v>
      </c>
      <c r="G319">
        <v>172</v>
      </c>
      <c r="H319">
        <v>245</v>
      </c>
      <c r="I319" t="s">
        <v>785</v>
      </c>
      <c r="J319" t="s">
        <v>786</v>
      </c>
      <c r="L319" t="s">
        <v>787</v>
      </c>
      <c r="M319" t="s">
        <v>85</v>
      </c>
      <c r="O319" t="s">
        <v>14</v>
      </c>
      <c r="P319" t="s">
        <v>788</v>
      </c>
      <c r="Q319" t="s">
        <v>789</v>
      </c>
      <c r="R319">
        <v>2019</v>
      </c>
      <c r="S319" t="s">
        <v>790</v>
      </c>
      <c r="U319" t="s">
        <v>791</v>
      </c>
      <c r="V319" t="s">
        <v>792</v>
      </c>
      <c r="W319" t="s">
        <v>91</v>
      </c>
      <c r="X319" t="s">
        <v>126</v>
      </c>
      <c r="Y319" t="s">
        <v>793</v>
      </c>
      <c r="Z319" t="s">
        <v>794</v>
      </c>
      <c r="AA319" t="s">
        <v>795</v>
      </c>
      <c r="AB319" t="s">
        <v>796</v>
      </c>
      <c r="AC319" t="s">
        <v>797</v>
      </c>
      <c r="AD319" t="s">
        <v>132</v>
      </c>
      <c r="AE319" t="s">
        <v>133</v>
      </c>
      <c r="AF319" t="s">
        <v>260</v>
      </c>
      <c r="AG319" t="s">
        <v>102</v>
      </c>
      <c r="AH319" t="s">
        <v>102</v>
      </c>
      <c r="AI319" t="s">
        <v>134</v>
      </c>
      <c r="AJ319" t="s">
        <v>135</v>
      </c>
      <c r="AM319" t="s">
        <v>136</v>
      </c>
      <c r="AN319" t="s">
        <v>106</v>
      </c>
      <c r="AO319">
        <v>0.40388888890000002</v>
      </c>
      <c r="AP319">
        <v>30.5333333333</v>
      </c>
      <c r="AQ319">
        <v>1254</v>
      </c>
      <c r="AR319" t="s">
        <v>317</v>
      </c>
      <c r="AS319">
        <v>2015</v>
      </c>
      <c r="AT319">
        <f>(1.37+1.56)/2</f>
        <v>1.4650000000000001</v>
      </c>
      <c r="AU319">
        <f>(0.091+0.148)/2</f>
        <v>0.1195</v>
      </c>
      <c r="AV319">
        <f>(41.7+43.3)/2</f>
        <v>42.5</v>
      </c>
      <c r="AW319" t="s">
        <v>108</v>
      </c>
      <c r="AX319">
        <v>24.5</v>
      </c>
      <c r="AY319" t="s">
        <v>103</v>
      </c>
      <c r="AZ319" t="s">
        <v>109</v>
      </c>
      <c r="BA319" t="s">
        <v>138</v>
      </c>
      <c r="BB319">
        <v>21.07</v>
      </c>
      <c r="BC319">
        <v>28.95</v>
      </c>
      <c r="BD319">
        <f>(0.1+0.2)/2</f>
        <v>0.15000000000000002</v>
      </c>
      <c r="BE319" t="s">
        <v>139</v>
      </c>
      <c r="BF319">
        <v>30</v>
      </c>
      <c r="BG319">
        <v>0.3</v>
      </c>
      <c r="BM319">
        <f>(1.7*13.85)/18</f>
        <v>1.3080555555555555</v>
      </c>
      <c r="BU319" t="s">
        <v>802</v>
      </c>
      <c r="BV319">
        <v>36.817520000000002</v>
      </c>
      <c r="BW319">
        <v>1.0601232</v>
      </c>
      <c r="BX319">
        <v>15</v>
      </c>
      <c r="BY319">
        <v>40.113140000000001</v>
      </c>
      <c r="BZ319">
        <v>1.2041805000000001</v>
      </c>
      <c r="CA319">
        <v>21</v>
      </c>
      <c r="CB319" t="s">
        <v>113</v>
      </c>
      <c r="CC319" t="s">
        <v>451</v>
      </c>
    </row>
    <row r="320" spans="1:81" x14ac:dyDescent="0.25">
      <c r="A320" t="s">
        <v>81</v>
      </c>
      <c r="B320">
        <v>319</v>
      </c>
      <c r="C320">
        <v>64</v>
      </c>
      <c r="D320">
        <v>60</v>
      </c>
      <c r="E320">
        <v>61</v>
      </c>
      <c r="F320">
        <v>63</v>
      </c>
      <c r="G320">
        <v>173</v>
      </c>
      <c r="H320">
        <v>245</v>
      </c>
      <c r="I320" t="s">
        <v>785</v>
      </c>
      <c r="J320" t="s">
        <v>799</v>
      </c>
      <c r="L320" t="s">
        <v>800</v>
      </c>
      <c r="M320" t="s">
        <v>85</v>
      </c>
      <c r="O320" t="s">
        <v>14</v>
      </c>
      <c r="P320" t="s">
        <v>788</v>
      </c>
      <c r="Q320" t="s">
        <v>789</v>
      </c>
      <c r="R320">
        <v>2019</v>
      </c>
      <c r="S320" t="s">
        <v>790</v>
      </c>
      <c r="U320" t="s">
        <v>791</v>
      </c>
      <c r="V320" t="s">
        <v>792</v>
      </c>
      <c r="W320" t="s">
        <v>91</v>
      </c>
      <c r="X320" t="s">
        <v>126</v>
      </c>
      <c r="Y320" t="s">
        <v>793</v>
      </c>
      <c r="Z320" t="s">
        <v>794</v>
      </c>
      <c r="AA320" t="s">
        <v>795</v>
      </c>
      <c r="AB320" t="s">
        <v>796</v>
      </c>
      <c r="AC320" t="s">
        <v>797</v>
      </c>
      <c r="AD320" t="s">
        <v>132</v>
      </c>
      <c r="AE320" t="s">
        <v>133</v>
      </c>
      <c r="AF320" t="s">
        <v>260</v>
      </c>
      <c r="AG320" t="s">
        <v>102</v>
      </c>
      <c r="AH320" t="s">
        <v>102</v>
      </c>
      <c r="AI320" t="s">
        <v>134</v>
      </c>
      <c r="AJ320" t="s">
        <v>135</v>
      </c>
      <c r="AM320" t="s">
        <v>136</v>
      </c>
      <c r="AN320" t="s">
        <v>106</v>
      </c>
      <c r="AO320">
        <v>0.40388888890000002</v>
      </c>
      <c r="AP320">
        <v>30.5333333333</v>
      </c>
      <c r="AQ320">
        <v>1254</v>
      </c>
      <c r="AR320" t="s">
        <v>317</v>
      </c>
      <c r="AS320">
        <v>2015</v>
      </c>
      <c r="AT320">
        <f>(1.37+1.56)/2</f>
        <v>1.4650000000000001</v>
      </c>
      <c r="AU320">
        <f>(0.091+0.148)/2</f>
        <v>0.1195</v>
      </c>
      <c r="AV320">
        <f>(41.7+43.3)/2</f>
        <v>42.5</v>
      </c>
      <c r="AW320" t="s">
        <v>108</v>
      </c>
      <c r="AX320">
        <v>24.5</v>
      </c>
      <c r="AY320" t="s">
        <v>103</v>
      </c>
      <c r="AZ320" t="s">
        <v>109</v>
      </c>
      <c r="BA320" t="s">
        <v>180</v>
      </c>
      <c r="BB320">
        <v>21.07</v>
      </c>
      <c r="BC320">
        <v>28.95</v>
      </c>
      <c r="BD320">
        <f>(0.1+0.2)/2</f>
        <v>0.15000000000000002</v>
      </c>
      <c r="BE320" t="s">
        <v>139</v>
      </c>
      <c r="BF320">
        <v>30</v>
      </c>
      <c r="BG320">
        <v>0.3</v>
      </c>
      <c r="BM320">
        <f>(1.7*13.85)/18</f>
        <v>1.3080555555555555</v>
      </c>
      <c r="BU320" t="s">
        <v>803</v>
      </c>
      <c r="BV320">
        <v>35.222020000000001</v>
      </c>
      <c r="BW320">
        <v>1.0659586999999999</v>
      </c>
      <c r="BX320">
        <v>15</v>
      </c>
      <c r="BY320">
        <v>34.45138</v>
      </c>
      <c r="BZ320">
        <v>1.1099082</v>
      </c>
      <c r="CA320">
        <v>21</v>
      </c>
      <c r="CB320" t="s">
        <v>113</v>
      </c>
      <c r="CC320" t="s">
        <v>451</v>
      </c>
    </row>
    <row r="321" spans="1:81" x14ac:dyDescent="0.25">
      <c r="A321" t="s">
        <v>81</v>
      </c>
      <c r="B321">
        <v>320</v>
      </c>
      <c r="C321">
        <v>65</v>
      </c>
      <c r="D321">
        <v>61</v>
      </c>
      <c r="E321">
        <v>62</v>
      </c>
      <c r="F321">
        <v>64</v>
      </c>
      <c r="G321">
        <v>174</v>
      </c>
      <c r="H321">
        <v>246</v>
      </c>
      <c r="I321" t="s">
        <v>322</v>
      </c>
      <c r="J321" t="s">
        <v>184</v>
      </c>
      <c r="L321" t="s">
        <v>804</v>
      </c>
      <c r="M321" t="s">
        <v>85</v>
      </c>
      <c r="O321" t="s">
        <v>14</v>
      </c>
      <c r="P321" t="s">
        <v>805</v>
      </c>
      <c r="Q321" t="s">
        <v>806</v>
      </c>
      <c r="R321">
        <v>1993</v>
      </c>
      <c r="S321" t="s">
        <v>775</v>
      </c>
      <c r="U321" t="s">
        <v>807</v>
      </c>
      <c r="V321" t="s">
        <v>808</v>
      </c>
      <c r="W321" t="s">
        <v>170</v>
      </c>
      <c r="X321" t="s">
        <v>171</v>
      </c>
      <c r="Y321" t="s">
        <v>809</v>
      </c>
      <c r="Z321" t="s">
        <v>810</v>
      </c>
      <c r="AA321" t="s">
        <v>811</v>
      </c>
      <c r="AB321" t="s">
        <v>812</v>
      </c>
      <c r="AC321" t="s">
        <v>813</v>
      </c>
      <c r="AD321" t="s">
        <v>98</v>
      </c>
      <c r="AE321" t="s">
        <v>177</v>
      </c>
      <c r="AF321" t="s">
        <v>100</v>
      </c>
      <c r="AG321" t="s">
        <v>102</v>
      </c>
      <c r="AH321" t="s">
        <v>102</v>
      </c>
      <c r="AI321" t="s">
        <v>134</v>
      </c>
      <c r="AJ321" t="s">
        <v>135</v>
      </c>
      <c r="AM321" t="s">
        <v>136</v>
      </c>
      <c r="AN321" t="s">
        <v>106</v>
      </c>
      <c r="AU321">
        <f>5.92/1000</f>
        <v>5.9199999999999999E-3</v>
      </c>
      <c r="AW321" t="s">
        <v>108</v>
      </c>
      <c r="AX321">
        <v>30</v>
      </c>
      <c r="AY321" t="s">
        <v>134</v>
      </c>
      <c r="AZ321" t="s">
        <v>109</v>
      </c>
      <c r="BA321" t="s">
        <v>180</v>
      </c>
      <c r="BB321">
        <v>15</v>
      </c>
      <c r="BC321">
        <v>20</v>
      </c>
      <c r="BE321" t="s">
        <v>139</v>
      </c>
      <c r="BF321">
        <v>15</v>
      </c>
      <c r="BG321">
        <v>1</v>
      </c>
      <c r="BU321" t="s">
        <v>814</v>
      </c>
      <c r="BV321">
        <v>44.677419999999998</v>
      </c>
      <c r="BW321">
        <v>0.41935480000000003</v>
      </c>
      <c r="BX321">
        <v>81</v>
      </c>
      <c r="BY321">
        <v>43.709679999999999</v>
      </c>
      <c r="BZ321">
        <v>0.43548389999999998</v>
      </c>
      <c r="CA321">
        <v>81</v>
      </c>
      <c r="CB321" t="s">
        <v>113</v>
      </c>
      <c r="CC321" t="s">
        <v>815</v>
      </c>
    </row>
    <row r="322" spans="1:81" x14ac:dyDescent="0.25">
      <c r="A322" t="s">
        <v>81</v>
      </c>
      <c r="B322">
        <v>321</v>
      </c>
      <c r="C322">
        <v>65</v>
      </c>
      <c r="D322">
        <v>61</v>
      </c>
      <c r="E322">
        <v>62</v>
      </c>
      <c r="F322">
        <v>64</v>
      </c>
      <c r="G322">
        <v>174</v>
      </c>
      <c r="H322">
        <v>247</v>
      </c>
      <c r="I322" t="s">
        <v>322</v>
      </c>
      <c r="J322" t="s">
        <v>184</v>
      </c>
      <c r="L322" t="s">
        <v>804</v>
      </c>
      <c r="M322" t="s">
        <v>85</v>
      </c>
      <c r="O322" t="s">
        <v>14</v>
      </c>
      <c r="P322" t="s">
        <v>805</v>
      </c>
      <c r="Q322" t="s">
        <v>806</v>
      </c>
      <c r="R322">
        <v>1993</v>
      </c>
      <c r="S322" t="s">
        <v>775</v>
      </c>
      <c r="U322" t="s">
        <v>807</v>
      </c>
      <c r="V322" t="s">
        <v>808</v>
      </c>
      <c r="W322" t="s">
        <v>170</v>
      </c>
      <c r="X322" t="s">
        <v>171</v>
      </c>
      <c r="Y322" t="s">
        <v>809</v>
      </c>
      <c r="Z322" t="s">
        <v>810</v>
      </c>
      <c r="AA322" t="s">
        <v>811</v>
      </c>
      <c r="AB322" t="s">
        <v>812</v>
      </c>
      <c r="AC322" t="s">
        <v>813</v>
      </c>
      <c r="AD322" t="s">
        <v>98</v>
      </c>
      <c r="AE322" t="s">
        <v>177</v>
      </c>
      <c r="AF322" t="s">
        <v>100</v>
      </c>
      <c r="AG322" t="s">
        <v>102</v>
      </c>
      <c r="AH322" t="s">
        <v>102</v>
      </c>
      <c r="AI322" t="s">
        <v>134</v>
      </c>
      <c r="AJ322" t="s">
        <v>135</v>
      </c>
      <c r="AM322" t="s">
        <v>136</v>
      </c>
      <c r="AN322" t="s">
        <v>106</v>
      </c>
      <c r="AU322">
        <f>5.92/1000</f>
        <v>5.9199999999999999E-3</v>
      </c>
      <c r="AW322" t="s">
        <v>108</v>
      </c>
      <c r="AX322">
        <v>30</v>
      </c>
      <c r="AY322" t="s">
        <v>134</v>
      </c>
      <c r="AZ322" t="s">
        <v>109</v>
      </c>
      <c r="BA322" t="s">
        <v>180</v>
      </c>
      <c r="BB322">
        <v>20</v>
      </c>
      <c r="BC322">
        <v>25</v>
      </c>
      <c r="BE322" t="s">
        <v>139</v>
      </c>
      <c r="BF322">
        <v>15</v>
      </c>
      <c r="BG322">
        <v>1</v>
      </c>
      <c r="BU322" t="s">
        <v>814</v>
      </c>
      <c r="BV322">
        <v>43.709679999999999</v>
      </c>
      <c r="BW322">
        <v>0.43548389999999998</v>
      </c>
      <c r="BX322">
        <v>81</v>
      </c>
      <c r="BY322">
        <v>45.048389999999998</v>
      </c>
      <c r="BZ322">
        <v>0.45161289999999998</v>
      </c>
      <c r="CA322">
        <v>81</v>
      </c>
      <c r="CB322" t="s">
        <v>113</v>
      </c>
      <c r="CC322" t="s">
        <v>815</v>
      </c>
    </row>
    <row r="323" spans="1:81" x14ac:dyDescent="0.25">
      <c r="A323" t="s">
        <v>81</v>
      </c>
      <c r="B323">
        <v>322</v>
      </c>
      <c r="C323">
        <v>65</v>
      </c>
      <c r="D323">
        <v>61</v>
      </c>
      <c r="E323">
        <v>62</v>
      </c>
      <c r="F323">
        <v>64</v>
      </c>
      <c r="G323">
        <v>174</v>
      </c>
      <c r="H323">
        <v>248</v>
      </c>
      <c r="I323" t="s">
        <v>322</v>
      </c>
      <c r="J323" t="s">
        <v>184</v>
      </c>
      <c r="L323" t="s">
        <v>804</v>
      </c>
      <c r="M323" t="s">
        <v>85</v>
      </c>
      <c r="O323" t="s">
        <v>14</v>
      </c>
      <c r="P323" t="s">
        <v>805</v>
      </c>
      <c r="Q323" t="s">
        <v>806</v>
      </c>
      <c r="R323">
        <v>1993</v>
      </c>
      <c r="S323" t="s">
        <v>775</v>
      </c>
      <c r="U323" t="s">
        <v>807</v>
      </c>
      <c r="V323" t="s">
        <v>808</v>
      </c>
      <c r="W323" t="s">
        <v>170</v>
      </c>
      <c r="X323" t="s">
        <v>171</v>
      </c>
      <c r="Y323" t="s">
        <v>809</v>
      </c>
      <c r="Z323" t="s">
        <v>810</v>
      </c>
      <c r="AA323" t="s">
        <v>811</v>
      </c>
      <c r="AB323" t="s">
        <v>812</v>
      </c>
      <c r="AC323" t="s">
        <v>813</v>
      </c>
      <c r="AD323" t="s">
        <v>98</v>
      </c>
      <c r="AE323" t="s">
        <v>177</v>
      </c>
      <c r="AF323" t="s">
        <v>100</v>
      </c>
      <c r="AG323" t="s">
        <v>102</v>
      </c>
      <c r="AH323" t="s">
        <v>102</v>
      </c>
      <c r="AI323" t="s">
        <v>134</v>
      </c>
      <c r="AJ323" t="s">
        <v>135</v>
      </c>
      <c r="AM323" t="s">
        <v>136</v>
      </c>
      <c r="AN323" t="s">
        <v>106</v>
      </c>
      <c r="AU323">
        <f>5.92/1000</f>
        <v>5.9199999999999999E-3</v>
      </c>
      <c r="AW323" t="s">
        <v>108</v>
      </c>
      <c r="AX323">
        <v>30</v>
      </c>
      <c r="AY323" t="s">
        <v>134</v>
      </c>
      <c r="AZ323" t="s">
        <v>109</v>
      </c>
      <c r="BA323" t="s">
        <v>180</v>
      </c>
      <c r="BB323">
        <v>25</v>
      </c>
      <c r="BC323">
        <v>30</v>
      </c>
      <c r="BE323" t="s">
        <v>139</v>
      </c>
      <c r="BF323">
        <v>15</v>
      </c>
      <c r="BG323">
        <v>1</v>
      </c>
      <c r="BS323" t="s">
        <v>816</v>
      </c>
      <c r="BU323" t="s">
        <v>817</v>
      </c>
      <c r="BV323">
        <v>45.048389999999998</v>
      </c>
      <c r="BW323">
        <v>0.45161289999999998</v>
      </c>
      <c r="BX323">
        <v>81</v>
      </c>
      <c r="BY323">
        <v>45.161290000000001</v>
      </c>
      <c r="BZ323">
        <v>0.80645160000000005</v>
      </c>
      <c r="CA323">
        <v>81</v>
      </c>
      <c r="CB323" t="s">
        <v>113</v>
      </c>
      <c r="CC323" t="s">
        <v>815</v>
      </c>
    </row>
    <row r="324" spans="1:81" x14ac:dyDescent="0.25">
      <c r="A324" t="s">
        <v>81</v>
      </c>
      <c r="B324">
        <v>323</v>
      </c>
      <c r="C324">
        <v>65</v>
      </c>
      <c r="D324">
        <v>61</v>
      </c>
      <c r="E324">
        <v>62</v>
      </c>
      <c r="F324">
        <v>64</v>
      </c>
      <c r="G324">
        <v>174</v>
      </c>
      <c r="H324">
        <v>249</v>
      </c>
      <c r="I324" t="s">
        <v>322</v>
      </c>
      <c r="J324" t="s">
        <v>184</v>
      </c>
      <c r="L324" t="s">
        <v>804</v>
      </c>
      <c r="M324" t="s">
        <v>85</v>
      </c>
      <c r="O324" t="s">
        <v>14</v>
      </c>
      <c r="P324" t="s">
        <v>805</v>
      </c>
      <c r="Q324" t="s">
        <v>806</v>
      </c>
      <c r="R324">
        <v>1993</v>
      </c>
      <c r="S324" t="s">
        <v>775</v>
      </c>
      <c r="U324" t="s">
        <v>807</v>
      </c>
      <c r="V324" t="s">
        <v>808</v>
      </c>
      <c r="W324" t="s">
        <v>170</v>
      </c>
      <c r="X324" t="s">
        <v>171</v>
      </c>
      <c r="Y324" t="s">
        <v>809</v>
      </c>
      <c r="Z324" t="s">
        <v>810</v>
      </c>
      <c r="AA324" t="s">
        <v>811</v>
      </c>
      <c r="AB324" t="s">
        <v>812</v>
      </c>
      <c r="AC324" t="s">
        <v>813</v>
      </c>
      <c r="AD324" t="s">
        <v>98</v>
      </c>
      <c r="AE324" t="s">
        <v>177</v>
      </c>
      <c r="AF324" t="s">
        <v>100</v>
      </c>
      <c r="AG324" t="s">
        <v>102</v>
      </c>
      <c r="AH324" t="s">
        <v>102</v>
      </c>
      <c r="AI324" t="s">
        <v>134</v>
      </c>
      <c r="AJ324" t="s">
        <v>135</v>
      </c>
      <c r="AM324" t="s">
        <v>136</v>
      </c>
      <c r="AN324" t="s">
        <v>106</v>
      </c>
      <c r="AU324">
        <f>5.92/1000</f>
        <v>5.9199999999999999E-3</v>
      </c>
      <c r="AW324" t="s">
        <v>108</v>
      </c>
      <c r="AX324">
        <v>30</v>
      </c>
      <c r="AY324" t="s">
        <v>134</v>
      </c>
      <c r="AZ324" t="s">
        <v>109</v>
      </c>
      <c r="BA324" t="s">
        <v>180</v>
      </c>
      <c r="BB324">
        <v>30</v>
      </c>
      <c r="BC324">
        <v>35</v>
      </c>
      <c r="BE324" t="s">
        <v>139</v>
      </c>
      <c r="BF324">
        <v>15</v>
      </c>
      <c r="BG324">
        <v>1</v>
      </c>
      <c r="BS324" t="s">
        <v>816</v>
      </c>
      <c r="BU324" t="s">
        <v>817</v>
      </c>
      <c r="BV324">
        <v>45.161290000000001</v>
      </c>
      <c r="BW324">
        <v>0.80645160000000005</v>
      </c>
      <c r="BX324">
        <v>81</v>
      </c>
      <c r="BY324">
        <v>46.822580000000002</v>
      </c>
      <c r="BZ324">
        <v>0.29032259999999999</v>
      </c>
      <c r="CA324">
        <v>81</v>
      </c>
      <c r="CB324" t="s">
        <v>113</v>
      </c>
      <c r="CC324" t="s">
        <v>815</v>
      </c>
    </row>
    <row r="325" spans="1:81" x14ac:dyDescent="0.25">
      <c r="A325" t="s">
        <v>81</v>
      </c>
      <c r="B325">
        <v>324</v>
      </c>
      <c r="C325">
        <v>66</v>
      </c>
      <c r="D325">
        <v>62</v>
      </c>
      <c r="E325">
        <v>63</v>
      </c>
      <c r="F325">
        <v>65</v>
      </c>
      <c r="G325">
        <v>175</v>
      </c>
      <c r="H325">
        <v>250</v>
      </c>
      <c r="J325" t="s">
        <v>83</v>
      </c>
      <c r="K325" s="3" t="s">
        <v>818</v>
      </c>
      <c r="M325" t="s">
        <v>85</v>
      </c>
      <c r="O325" t="s">
        <v>14</v>
      </c>
      <c r="P325" t="s">
        <v>819</v>
      </c>
      <c r="Q325" t="s">
        <v>820</v>
      </c>
      <c r="R325">
        <v>2017</v>
      </c>
      <c r="S325" t="s">
        <v>821</v>
      </c>
      <c r="U325" t="s">
        <v>822</v>
      </c>
      <c r="V325" t="s">
        <v>823</v>
      </c>
      <c r="W325" t="s">
        <v>91</v>
      </c>
      <c r="X325" t="s">
        <v>126</v>
      </c>
      <c r="Y325" t="s">
        <v>824</v>
      </c>
      <c r="Z325" t="s">
        <v>825</v>
      </c>
      <c r="AA325" t="s">
        <v>826</v>
      </c>
      <c r="AB325" t="s">
        <v>827</v>
      </c>
      <c r="AC325" t="s">
        <v>828</v>
      </c>
      <c r="AD325" t="s">
        <v>132</v>
      </c>
      <c r="AE325" t="s">
        <v>133</v>
      </c>
      <c r="AF325" t="s">
        <v>100</v>
      </c>
      <c r="AG325" t="s">
        <v>102</v>
      </c>
      <c r="AH325" t="s">
        <v>102</v>
      </c>
      <c r="AI325" t="s">
        <v>134</v>
      </c>
      <c r="AJ325" t="s">
        <v>135</v>
      </c>
      <c r="AM325" t="s">
        <v>136</v>
      </c>
      <c r="AN325" t="s">
        <v>106</v>
      </c>
      <c r="AT325">
        <f>(10.3+12.8)/2</f>
        <v>11.55</v>
      </c>
      <c r="AV325">
        <f>(20+14)/2</f>
        <v>17</v>
      </c>
      <c r="AW325" t="s">
        <v>108</v>
      </c>
      <c r="AX325">
        <v>9</v>
      </c>
      <c r="AY325" t="s">
        <v>103</v>
      </c>
      <c r="AZ325" t="s">
        <v>109</v>
      </c>
      <c r="BA325" t="s">
        <v>138</v>
      </c>
      <c r="BB325">
        <f t="shared" ref="BB325:BB331" si="14">(7.6+7.5)/2</f>
        <v>7.55</v>
      </c>
      <c r="BC325">
        <f t="shared" ref="BC325:BC331" si="15">(12.7+12.8)/2</f>
        <v>12.75</v>
      </c>
      <c r="BD325">
        <f t="shared" ref="BD325:BD331" si="16">(0.4+0.4+0.2+0.3)/4</f>
        <v>0.32500000000000001</v>
      </c>
      <c r="BE325" t="s">
        <v>139</v>
      </c>
      <c r="BF325">
        <f t="shared" ref="BF325:BF331" si="17">AV325-9</f>
        <v>8</v>
      </c>
      <c r="BG325">
        <f>0.5/60</f>
        <v>8.3333333333333332E-3</v>
      </c>
      <c r="BN325">
        <f t="shared" ref="BN325:BN331" si="18">(16.3+16.6)/2</f>
        <v>16.450000000000003</v>
      </c>
      <c r="BP325">
        <v>14</v>
      </c>
      <c r="BS325" t="s">
        <v>829</v>
      </c>
      <c r="BU325" t="s">
        <v>830</v>
      </c>
      <c r="BV325">
        <v>21.2</v>
      </c>
      <c r="BW325">
        <v>4.4944410000000001</v>
      </c>
      <c r="BX325">
        <v>9</v>
      </c>
      <c r="BY325">
        <v>24.7</v>
      </c>
      <c r="BZ325">
        <v>1.2288205999999999</v>
      </c>
      <c r="CA325">
        <v>9</v>
      </c>
      <c r="CB325" t="s">
        <v>113</v>
      </c>
      <c r="CC325" t="s">
        <v>831</v>
      </c>
    </row>
    <row r="326" spans="1:81" x14ac:dyDescent="0.25">
      <c r="A326" t="s">
        <v>81</v>
      </c>
      <c r="B326">
        <v>325</v>
      </c>
      <c r="C326">
        <v>66</v>
      </c>
      <c r="D326">
        <v>62</v>
      </c>
      <c r="E326">
        <v>63</v>
      </c>
      <c r="F326">
        <v>65</v>
      </c>
      <c r="G326">
        <v>176</v>
      </c>
      <c r="H326">
        <v>251</v>
      </c>
      <c r="J326" t="s">
        <v>83</v>
      </c>
      <c r="K326" s="3" t="s">
        <v>818</v>
      </c>
      <c r="M326" t="s">
        <v>85</v>
      </c>
      <c r="O326" t="s">
        <v>14</v>
      </c>
      <c r="P326" t="s">
        <v>819</v>
      </c>
      <c r="Q326" t="s">
        <v>820</v>
      </c>
      <c r="R326">
        <v>2017</v>
      </c>
      <c r="S326" t="s">
        <v>821</v>
      </c>
      <c r="U326" t="s">
        <v>822</v>
      </c>
      <c r="V326" t="s">
        <v>823</v>
      </c>
      <c r="W326" t="s">
        <v>91</v>
      </c>
      <c r="X326" t="s">
        <v>126</v>
      </c>
      <c r="Y326" t="s">
        <v>824</v>
      </c>
      <c r="Z326" t="s">
        <v>825</v>
      </c>
      <c r="AA326" t="s">
        <v>826</v>
      </c>
      <c r="AB326" t="s">
        <v>827</v>
      </c>
      <c r="AC326" t="s">
        <v>828</v>
      </c>
      <c r="AD326" t="s">
        <v>132</v>
      </c>
      <c r="AE326" t="s">
        <v>133</v>
      </c>
      <c r="AF326" t="s">
        <v>100</v>
      </c>
      <c r="AG326" t="s">
        <v>102</v>
      </c>
      <c r="AH326" t="s">
        <v>102</v>
      </c>
      <c r="AI326" t="s">
        <v>134</v>
      </c>
      <c r="AJ326" t="s">
        <v>135</v>
      </c>
      <c r="AM326" t="s">
        <v>136</v>
      </c>
      <c r="AN326" t="s">
        <v>106</v>
      </c>
      <c r="AT326">
        <f>(10.3+12.8)/2</f>
        <v>11.55</v>
      </c>
      <c r="AV326">
        <f>(20+14)/2</f>
        <v>17</v>
      </c>
      <c r="AW326" t="s">
        <v>108</v>
      </c>
      <c r="AX326">
        <v>9</v>
      </c>
      <c r="AY326" t="s">
        <v>103</v>
      </c>
      <c r="AZ326" t="s">
        <v>109</v>
      </c>
      <c r="BA326" t="s">
        <v>138</v>
      </c>
      <c r="BB326">
        <f t="shared" si="14"/>
        <v>7.55</v>
      </c>
      <c r="BC326">
        <f t="shared" si="15"/>
        <v>12.75</v>
      </c>
      <c r="BD326">
        <f t="shared" si="16"/>
        <v>0.32500000000000001</v>
      </c>
      <c r="BE326" t="s">
        <v>139</v>
      </c>
      <c r="BF326">
        <f t="shared" si="17"/>
        <v>8</v>
      </c>
      <c r="BG326">
        <f>1/60</f>
        <v>1.6666666666666666E-2</v>
      </c>
      <c r="BN326">
        <f t="shared" si="18"/>
        <v>16.450000000000003</v>
      </c>
      <c r="BP326">
        <v>14</v>
      </c>
      <c r="BS326" t="s">
        <v>829</v>
      </c>
      <c r="BU326" t="s">
        <v>830</v>
      </c>
      <c r="BV326">
        <v>19.328569999999999</v>
      </c>
      <c r="BW326">
        <v>3.4291467999999998</v>
      </c>
      <c r="BX326">
        <v>7</v>
      </c>
      <c r="BY326">
        <v>25.433330000000002</v>
      </c>
      <c r="BZ326">
        <v>1.0259142000000001</v>
      </c>
      <c r="CA326">
        <v>9</v>
      </c>
      <c r="CB326" t="s">
        <v>113</v>
      </c>
      <c r="CC326" t="s">
        <v>831</v>
      </c>
    </row>
    <row r="327" spans="1:81" x14ac:dyDescent="0.25">
      <c r="A327" t="s">
        <v>81</v>
      </c>
      <c r="B327">
        <v>326</v>
      </c>
      <c r="C327">
        <v>66</v>
      </c>
      <c r="D327">
        <v>62</v>
      </c>
      <c r="E327">
        <v>63</v>
      </c>
      <c r="F327">
        <v>65</v>
      </c>
      <c r="G327">
        <v>177</v>
      </c>
      <c r="H327">
        <v>252</v>
      </c>
      <c r="J327" t="s">
        <v>83</v>
      </c>
      <c r="K327" s="3" t="s">
        <v>818</v>
      </c>
      <c r="M327" t="s">
        <v>85</v>
      </c>
      <c r="O327" t="s">
        <v>14</v>
      </c>
      <c r="P327" t="s">
        <v>819</v>
      </c>
      <c r="Q327" t="s">
        <v>820</v>
      </c>
      <c r="R327">
        <v>2017</v>
      </c>
      <c r="S327" t="s">
        <v>821</v>
      </c>
      <c r="U327" t="s">
        <v>822</v>
      </c>
      <c r="V327" t="s">
        <v>823</v>
      </c>
      <c r="W327" t="s">
        <v>91</v>
      </c>
      <c r="X327" t="s">
        <v>126</v>
      </c>
      <c r="Y327" t="s">
        <v>824</v>
      </c>
      <c r="Z327" t="s">
        <v>825</v>
      </c>
      <c r="AA327" t="s">
        <v>826</v>
      </c>
      <c r="AB327" t="s">
        <v>827</v>
      </c>
      <c r="AC327" t="s">
        <v>828</v>
      </c>
      <c r="AD327" t="s">
        <v>132</v>
      </c>
      <c r="AE327" t="s">
        <v>133</v>
      </c>
      <c r="AF327" t="s">
        <v>100</v>
      </c>
      <c r="AG327" t="s">
        <v>102</v>
      </c>
      <c r="AH327" t="s">
        <v>102</v>
      </c>
      <c r="AI327" t="s">
        <v>134</v>
      </c>
      <c r="AJ327" t="s">
        <v>135</v>
      </c>
      <c r="AM327" t="s">
        <v>136</v>
      </c>
      <c r="AN327" t="s">
        <v>106</v>
      </c>
      <c r="AT327">
        <f>(10.3+12.8)/2</f>
        <v>11.55</v>
      </c>
      <c r="AV327">
        <f>(20+14)/2</f>
        <v>17</v>
      </c>
      <c r="AW327" t="s">
        <v>108</v>
      </c>
      <c r="AX327">
        <v>9</v>
      </c>
      <c r="AY327" t="s">
        <v>103</v>
      </c>
      <c r="AZ327" t="s">
        <v>109</v>
      </c>
      <c r="BA327" t="s">
        <v>138</v>
      </c>
      <c r="BB327">
        <f t="shared" si="14"/>
        <v>7.55</v>
      </c>
      <c r="BC327">
        <f t="shared" si="15"/>
        <v>12.75</v>
      </c>
      <c r="BD327">
        <f t="shared" si="16"/>
        <v>0.32500000000000001</v>
      </c>
      <c r="BE327" t="s">
        <v>139</v>
      </c>
      <c r="BF327">
        <f t="shared" si="17"/>
        <v>8</v>
      </c>
      <c r="BG327">
        <f>2/60</f>
        <v>3.3333333333333333E-2</v>
      </c>
      <c r="BN327">
        <f t="shared" si="18"/>
        <v>16.450000000000003</v>
      </c>
      <c r="BP327">
        <v>14</v>
      </c>
      <c r="BS327" t="s">
        <v>829</v>
      </c>
      <c r="BU327" t="s">
        <v>830</v>
      </c>
      <c r="BV327">
        <v>19.344439999999999</v>
      </c>
      <c r="BW327">
        <v>3.6678028999999999</v>
      </c>
      <c r="BX327">
        <v>9</v>
      </c>
      <c r="BY327">
        <v>25.188890000000001</v>
      </c>
      <c r="BZ327">
        <v>0.8781293</v>
      </c>
      <c r="CA327">
        <v>9</v>
      </c>
      <c r="CB327" t="s">
        <v>113</v>
      </c>
      <c r="CC327" t="s">
        <v>831</v>
      </c>
    </row>
    <row r="328" spans="1:81" x14ac:dyDescent="0.25">
      <c r="A328" t="s">
        <v>81</v>
      </c>
      <c r="B328">
        <v>327</v>
      </c>
      <c r="C328">
        <v>66</v>
      </c>
      <c r="D328">
        <v>62</v>
      </c>
      <c r="E328">
        <v>63</v>
      </c>
      <c r="F328">
        <v>65</v>
      </c>
      <c r="G328">
        <v>178</v>
      </c>
      <c r="H328">
        <v>253</v>
      </c>
      <c r="J328" t="s">
        <v>83</v>
      </c>
      <c r="K328" s="3" t="s">
        <v>818</v>
      </c>
      <c r="M328" t="s">
        <v>85</v>
      </c>
      <c r="O328" t="s">
        <v>14</v>
      </c>
      <c r="P328" t="s">
        <v>819</v>
      </c>
      <c r="Q328" t="s">
        <v>820</v>
      </c>
      <c r="R328">
        <v>2017</v>
      </c>
      <c r="S328" t="s">
        <v>821</v>
      </c>
      <c r="U328" t="s">
        <v>822</v>
      </c>
      <c r="V328" t="s">
        <v>823</v>
      </c>
      <c r="W328" t="s">
        <v>91</v>
      </c>
      <c r="X328" t="s">
        <v>126</v>
      </c>
      <c r="Y328" t="s">
        <v>824</v>
      </c>
      <c r="Z328" t="s">
        <v>825</v>
      </c>
      <c r="AA328" t="s">
        <v>826</v>
      </c>
      <c r="AB328" t="s">
        <v>827</v>
      </c>
      <c r="AC328" t="s">
        <v>828</v>
      </c>
      <c r="AD328" t="s">
        <v>132</v>
      </c>
      <c r="AE328" t="s">
        <v>133</v>
      </c>
      <c r="AF328" t="s">
        <v>100</v>
      </c>
      <c r="AG328" t="s">
        <v>102</v>
      </c>
      <c r="AH328" t="s">
        <v>102</v>
      </c>
      <c r="AI328" t="s">
        <v>134</v>
      </c>
      <c r="AJ328" t="s">
        <v>135</v>
      </c>
      <c r="AM328" t="s">
        <v>136</v>
      </c>
      <c r="AN328" t="s">
        <v>106</v>
      </c>
      <c r="AT328">
        <f>(10.3+12.8)/2</f>
        <v>11.55</v>
      </c>
      <c r="AV328">
        <f>(20+14)/2</f>
        <v>17</v>
      </c>
      <c r="AW328" t="s">
        <v>108</v>
      </c>
      <c r="AX328">
        <v>9</v>
      </c>
      <c r="AY328" t="s">
        <v>103</v>
      </c>
      <c r="AZ328" t="s">
        <v>109</v>
      </c>
      <c r="BA328" t="s">
        <v>138</v>
      </c>
      <c r="BB328">
        <f t="shared" si="14"/>
        <v>7.55</v>
      </c>
      <c r="BC328">
        <f t="shared" si="15"/>
        <v>12.75</v>
      </c>
      <c r="BD328">
        <f t="shared" si="16"/>
        <v>0.32500000000000001</v>
      </c>
      <c r="BE328" t="s">
        <v>139</v>
      </c>
      <c r="BF328">
        <f t="shared" si="17"/>
        <v>8</v>
      </c>
      <c r="BG328">
        <f>4/60</f>
        <v>6.6666666666666666E-2</v>
      </c>
      <c r="BN328">
        <f t="shared" si="18"/>
        <v>16.450000000000003</v>
      </c>
      <c r="BP328">
        <v>14</v>
      </c>
      <c r="BS328" t="s">
        <v>829</v>
      </c>
      <c r="BU328" t="s">
        <v>830</v>
      </c>
      <c r="BV328">
        <v>24.5</v>
      </c>
      <c r="BW328">
        <v>1.146423</v>
      </c>
      <c r="BX328">
        <v>8</v>
      </c>
      <c r="BY328">
        <v>26.366669999999999</v>
      </c>
      <c r="BZ328">
        <v>0.33541019999999999</v>
      </c>
      <c r="CA328">
        <v>9</v>
      </c>
      <c r="CB328" t="s">
        <v>113</v>
      </c>
      <c r="CC328" t="s">
        <v>831</v>
      </c>
    </row>
    <row r="329" spans="1:81" x14ac:dyDescent="0.25">
      <c r="A329" t="s">
        <v>81</v>
      </c>
      <c r="B329">
        <v>328</v>
      </c>
      <c r="C329">
        <v>66</v>
      </c>
      <c r="D329">
        <v>62</v>
      </c>
      <c r="E329">
        <v>63</v>
      </c>
      <c r="F329">
        <v>65</v>
      </c>
      <c r="G329">
        <v>179</v>
      </c>
      <c r="H329">
        <v>254</v>
      </c>
      <c r="J329" t="s">
        <v>83</v>
      </c>
      <c r="K329" s="3" t="s">
        <v>818</v>
      </c>
      <c r="M329" t="s">
        <v>85</v>
      </c>
      <c r="O329" t="s">
        <v>14</v>
      </c>
      <c r="P329" t="s">
        <v>819</v>
      </c>
      <c r="Q329" t="s">
        <v>820</v>
      </c>
      <c r="R329">
        <v>2017</v>
      </c>
      <c r="S329" t="s">
        <v>821</v>
      </c>
      <c r="U329" t="s">
        <v>822</v>
      </c>
      <c r="V329" t="s">
        <v>823</v>
      </c>
      <c r="W329" t="s">
        <v>91</v>
      </c>
      <c r="X329" t="s">
        <v>126</v>
      </c>
      <c r="Y329" t="s">
        <v>824</v>
      </c>
      <c r="Z329" t="s">
        <v>825</v>
      </c>
      <c r="AA329" t="s">
        <v>826</v>
      </c>
      <c r="AB329" t="s">
        <v>827</v>
      </c>
      <c r="AC329" t="s">
        <v>828</v>
      </c>
      <c r="AD329" t="s">
        <v>132</v>
      </c>
      <c r="AE329" t="s">
        <v>133</v>
      </c>
      <c r="AF329" t="s">
        <v>100</v>
      </c>
      <c r="AG329" t="s">
        <v>102</v>
      </c>
      <c r="AH329" t="s">
        <v>102</v>
      </c>
      <c r="AI329" t="s">
        <v>134</v>
      </c>
      <c r="AJ329" t="s">
        <v>135</v>
      </c>
      <c r="AM329" t="s">
        <v>136</v>
      </c>
      <c r="AN329" t="s">
        <v>106</v>
      </c>
      <c r="AT329">
        <f>(10.3+12.8)/2</f>
        <v>11.55</v>
      </c>
      <c r="AV329">
        <f>(20+14)/2</f>
        <v>17</v>
      </c>
      <c r="AW329" t="s">
        <v>108</v>
      </c>
      <c r="AX329">
        <v>9</v>
      </c>
      <c r="AY329" t="s">
        <v>103</v>
      </c>
      <c r="AZ329" t="s">
        <v>109</v>
      </c>
      <c r="BA329" t="s">
        <v>138</v>
      </c>
      <c r="BB329">
        <f t="shared" si="14"/>
        <v>7.55</v>
      </c>
      <c r="BC329">
        <f t="shared" si="15"/>
        <v>12.75</v>
      </c>
      <c r="BD329">
        <f t="shared" si="16"/>
        <v>0.32500000000000001</v>
      </c>
      <c r="BE329" t="s">
        <v>139</v>
      </c>
      <c r="BF329">
        <f t="shared" si="17"/>
        <v>8</v>
      </c>
      <c r="BG329">
        <f>8/60</f>
        <v>0.13333333333333333</v>
      </c>
      <c r="BN329">
        <f t="shared" si="18"/>
        <v>16.450000000000003</v>
      </c>
      <c r="BP329">
        <v>14</v>
      </c>
      <c r="BS329" t="s">
        <v>829</v>
      </c>
      <c r="BU329" t="s">
        <v>830</v>
      </c>
      <c r="BV329">
        <v>25.137499999999999</v>
      </c>
      <c r="BW329">
        <v>1.3978938000000001</v>
      </c>
      <c r="BX329">
        <v>8</v>
      </c>
      <c r="BY329">
        <v>26.566669999999998</v>
      </c>
      <c r="BZ329">
        <v>0.1</v>
      </c>
      <c r="CA329">
        <v>9</v>
      </c>
      <c r="CB329" t="s">
        <v>113</v>
      </c>
      <c r="CC329" t="s">
        <v>831</v>
      </c>
    </row>
    <row r="330" spans="1:81" x14ac:dyDescent="0.25">
      <c r="A330" t="s">
        <v>81</v>
      </c>
      <c r="B330">
        <v>329</v>
      </c>
      <c r="C330">
        <v>66</v>
      </c>
      <c r="D330">
        <v>62</v>
      </c>
      <c r="E330">
        <v>63</v>
      </c>
      <c r="F330">
        <v>65</v>
      </c>
      <c r="G330">
        <v>180</v>
      </c>
      <c r="H330">
        <v>255</v>
      </c>
      <c r="J330" t="s">
        <v>83</v>
      </c>
      <c r="K330" s="3" t="s">
        <v>818</v>
      </c>
      <c r="M330" t="s">
        <v>85</v>
      </c>
      <c r="O330" t="s">
        <v>14</v>
      </c>
      <c r="P330" t="s">
        <v>819</v>
      </c>
      <c r="Q330" t="s">
        <v>820</v>
      </c>
      <c r="R330">
        <v>2017</v>
      </c>
      <c r="S330" t="s">
        <v>821</v>
      </c>
      <c r="U330" t="s">
        <v>822</v>
      </c>
      <c r="V330" t="s">
        <v>823</v>
      </c>
      <c r="W330" t="s">
        <v>91</v>
      </c>
      <c r="X330" t="s">
        <v>126</v>
      </c>
      <c r="Y330" t="s">
        <v>824</v>
      </c>
      <c r="Z330" t="s">
        <v>825</v>
      </c>
      <c r="AA330" t="s">
        <v>826</v>
      </c>
      <c r="AB330" t="s">
        <v>827</v>
      </c>
      <c r="AC330" t="s">
        <v>828</v>
      </c>
      <c r="AD330" t="s">
        <v>132</v>
      </c>
      <c r="AE330" t="s">
        <v>133</v>
      </c>
      <c r="AF330" t="s">
        <v>100</v>
      </c>
      <c r="AG330" t="s">
        <v>102</v>
      </c>
      <c r="AH330" t="s">
        <v>102</v>
      </c>
      <c r="AI330" t="s">
        <v>134</v>
      </c>
      <c r="AJ330" t="s">
        <v>135</v>
      </c>
      <c r="AM330" t="s">
        <v>136</v>
      </c>
      <c r="AN330" t="s">
        <v>106</v>
      </c>
      <c r="AT330">
        <f>(14.4+21.2)/2</f>
        <v>17.8</v>
      </c>
      <c r="AV330">
        <f>(45+43)/2</f>
        <v>44</v>
      </c>
      <c r="AW330" t="s">
        <v>108</v>
      </c>
      <c r="AX330">
        <v>9</v>
      </c>
      <c r="AY330" t="s">
        <v>103</v>
      </c>
      <c r="AZ330" t="s">
        <v>109</v>
      </c>
      <c r="BA330" t="s">
        <v>138</v>
      </c>
      <c r="BB330">
        <f t="shared" si="14"/>
        <v>7.55</v>
      </c>
      <c r="BC330">
        <f t="shared" si="15"/>
        <v>12.75</v>
      </c>
      <c r="BD330">
        <f t="shared" si="16"/>
        <v>0.32500000000000001</v>
      </c>
      <c r="BE330" t="s">
        <v>139</v>
      </c>
      <c r="BF330">
        <f t="shared" si="17"/>
        <v>35</v>
      </c>
      <c r="BG330">
        <f>1/60</f>
        <v>1.6666666666666666E-2</v>
      </c>
      <c r="BN330">
        <f t="shared" si="18"/>
        <v>16.450000000000003</v>
      </c>
      <c r="BP330">
        <v>14</v>
      </c>
      <c r="BS330" t="s">
        <v>829</v>
      </c>
      <c r="BU330" t="s">
        <v>830</v>
      </c>
      <c r="BV330">
        <v>22.5625</v>
      </c>
      <c r="BW330">
        <v>1.4985112</v>
      </c>
      <c r="BX330">
        <v>8</v>
      </c>
      <c r="BY330">
        <v>23.65</v>
      </c>
      <c r="BZ330">
        <v>2.2488092000000002</v>
      </c>
      <c r="CA330">
        <v>8</v>
      </c>
      <c r="CB330" t="s">
        <v>113</v>
      </c>
      <c r="CC330" t="s">
        <v>831</v>
      </c>
    </row>
    <row r="331" spans="1:81" x14ac:dyDescent="0.25">
      <c r="A331" t="s">
        <v>81</v>
      </c>
      <c r="B331">
        <v>330</v>
      </c>
      <c r="C331">
        <v>66</v>
      </c>
      <c r="D331">
        <v>62</v>
      </c>
      <c r="E331">
        <v>63</v>
      </c>
      <c r="F331">
        <v>65</v>
      </c>
      <c r="G331">
        <v>181</v>
      </c>
      <c r="H331">
        <v>256</v>
      </c>
      <c r="J331" t="s">
        <v>83</v>
      </c>
      <c r="K331" s="3" t="s">
        <v>818</v>
      </c>
      <c r="M331" t="s">
        <v>85</v>
      </c>
      <c r="O331" t="s">
        <v>14</v>
      </c>
      <c r="P331" t="s">
        <v>819</v>
      </c>
      <c r="Q331" t="s">
        <v>820</v>
      </c>
      <c r="R331">
        <v>2017</v>
      </c>
      <c r="S331" t="s">
        <v>821</v>
      </c>
      <c r="U331" t="s">
        <v>822</v>
      </c>
      <c r="V331" t="s">
        <v>823</v>
      </c>
      <c r="W331" t="s">
        <v>91</v>
      </c>
      <c r="X331" t="s">
        <v>126</v>
      </c>
      <c r="Y331" t="s">
        <v>824</v>
      </c>
      <c r="Z331" t="s">
        <v>825</v>
      </c>
      <c r="AA331" t="s">
        <v>826</v>
      </c>
      <c r="AB331" t="s">
        <v>827</v>
      </c>
      <c r="AC331" t="s">
        <v>828</v>
      </c>
      <c r="AD331" t="s">
        <v>132</v>
      </c>
      <c r="AE331" t="s">
        <v>133</v>
      </c>
      <c r="AF331" t="s">
        <v>100</v>
      </c>
      <c r="AG331" t="s">
        <v>102</v>
      </c>
      <c r="AH331" t="s">
        <v>102</v>
      </c>
      <c r="AI331" t="s">
        <v>134</v>
      </c>
      <c r="AJ331" t="s">
        <v>135</v>
      </c>
      <c r="AM331" t="s">
        <v>136</v>
      </c>
      <c r="AN331" t="s">
        <v>106</v>
      </c>
      <c r="AT331">
        <f>(14.4+21.2)/2</f>
        <v>17.8</v>
      </c>
      <c r="AV331">
        <f>(45+43)/2</f>
        <v>44</v>
      </c>
      <c r="AW331" t="s">
        <v>108</v>
      </c>
      <c r="AX331">
        <v>9</v>
      </c>
      <c r="AY331" t="s">
        <v>103</v>
      </c>
      <c r="AZ331" t="s">
        <v>109</v>
      </c>
      <c r="BA331" t="s">
        <v>138</v>
      </c>
      <c r="BB331">
        <f t="shared" si="14"/>
        <v>7.55</v>
      </c>
      <c r="BC331">
        <f t="shared" si="15"/>
        <v>12.75</v>
      </c>
      <c r="BD331">
        <f t="shared" si="16"/>
        <v>0.32500000000000001</v>
      </c>
      <c r="BE331" t="s">
        <v>139</v>
      </c>
      <c r="BF331">
        <f t="shared" si="17"/>
        <v>35</v>
      </c>
      <c r="BG331">
        <f>2/60</f>
        <v>3.3333333333333333E-2</v>
      </c>
      <c r="BN331">
        <f t="shared" si="18"/>
        <v>16.450000000000003</v>
      </c>
      <c r="BP331">
        <v>14</v>
      </c>
      <c r="BS331" t="s">
        <v>829</v>
      </c>
      <c r="BU331" t="s">
        <v>830</v>
      </c>
      <c r="BV331">
        <v>22.912500000000001</v>
      </c>
      <c r="BW331">
        <v>1.7884051000000001</v>
      </c>
      <c r="BX331">
        <v>8</v>
      </c>
      <c r="BY331">
        <v>24.862500000000001</v>
      </c>
      <c r="BZ331">
        <v>1.0239106</v>
      </c>
      <c r="CA331">
        <v>8</v>
      </c>
      <c r="CB331" t="s">
        <v>113</v>
      </c>
      <c r="CC331" t="s">
        <v>831</v>
      </c>
    </row>
    <row r="332" spans="1:81" x14ac:dyDescent="0.25">
      <c r="A332" t="s">
        <v>81</v>
      </c>
      <c r="B332">
        <v>331</v>
      </c>
      <c r="C332">
        <v>67</v>
      </c>
      <c r="D332">
        <v>63</v>
      </c>
      <c r="E332">
        <v>64</v>
      </c>
      <c r="F332">
        <v>66</v>
      </c>
      <c r="G332">
        <v>182</v>
      </c>
      <c r="H332">
        <v>257</v>
      </c>
      <c r="I332" t="s">
        <v>490</v>
      </c>
      <c r="J332" t="s">
        <v>832</v>
      </c>
      <c r="L332" t="s">
        <v>833</v>
      </c>
      <c r="M332" t="s">
        <v>85</v>
      </c>
      <c r="O332" t="s">
        <v>14</v>
      </c>
      <c r="P332" t="s">
        <v>834</v>
      </c>
      <c r="Q332" t="s">
        <v>835</v>
      </c>
      <c r="R332">
        <v>2019</v>
      </c>
      <c r="S332" t="s">
        <v>836</v>
      </c>
      <c r="U332" t="s">
        <v>837</v>
      </c>
      <c r="V332" t="s">
        <v>838</v>
      </c>
      <c r="W332" t="s">
        <v>91</v>
      </c>
      <c r="X332" t="s">
        <v>508</v>
      </c>
      <c r="Y332" t="s">
        <v>509</v>
      </c>
      <c r="Z332" t="s">
        <v>839</v>
      </c>
      <c r="AA332" t="s">
        <v>840</v>
      </c>
      <c r="AB332" t="s">
        <v>841</v>
      </c>
      <c r="AC332" t="s">
        <v>842</v>
      </c>
      <c r="AD332" t="s">
        <v>132</v>
      </c>
      <c r="AE332" t="s">
        <v>514</v>
      </c>
      <c r="AF332" t="s">
        <v>100</v>
      </c>
      <c r="AG332" t="s">
        <v>261</v>
      </c>
      <c r="AH332" t="s">
        <v>102</v>
      </c>
      <c r="AI332" t="s">
        <v>103</v>
      </c>
      <c r="AJ332" t="s">
        <v>135</v>
      </c>
      <c r="AK332">
        <v>14</v>
      </c>
      <c r="AL332">
        <v>20</v>
      </c>
      <c r="AM332" t="s">
        <v>843</v>
      </c>
      <c r="AN332" t="s">
        <v>106</v>
      </c>
      <c r="AO332">
        <v>33.132888888899998</v>
      </c>
      <c r="AP332">
        <v>-117.1605555556</v>
      </c>
      <c r="AQ332">
        <v>200</v>
      </c>
      <c r="AR332" t="s">
        <v>439</v>
      </c>
      <c r="AS332">
        <v>2017</v>
      </c>
      <c r="AW332" t="s">
        <v>108</v>
      </c>
      <c r="AY332" t="s">
        <v>103</v>
      </c>
      <c r="AZ332" t="s">
        <v>109</v>
      </c>
      <c r="BA332" t="s">
        <v>138</v>
      </c>
      <c r="BB332">
        <v>10</v>
      </c>
      <c r="BC332">
        <v>15</v>
      </c>
      <c r="BD332">
        <v>0.1</v>
      </c>
      <c r="BE332" t="s">
        <v>139</v>
      </c>
      <c r="BF332">
        <f>((21.00604+11.83099)/2)+6</f>
        <v>22.418514999999999</v>
      </c>
      <c r="BG332">
        <v>0.33</v>
      </c>
      <c r="BP332">
        <v>12</v>
      </c>
      <c r="BS332" t="s">
        <v>844</v>
      </c>
      <c r="BU332" t="s">
        <v>845</v>
      </c>
      <c r="BV332">
        <v>38.713500000000003</v>
      </c>
      <c r="BW332">
        <v>1.3029196999999999</v>
      </c>
      <c r="BX332">
        <v>9</v>
      </c>
      <c r="BY332">
        <v>38.470799999999997</v>
      </c>
      <c r="BZ332">
        <v>1.5328466999999999</v>
      </c>
      <c r="CA332">
        <v>9</v>
      </c>
      <c r="CB332" t="s">
        <v>113</v>
      </c>
      <c r="CC332" t="s">
        <v>846</v>
      </c>
    </row>
    <row r="333" spans="1:81" x14ac:dyDescent="0.25">
      <c r="A333" t="s">
        <v>81</v>
      </c>
      <c r="B333">
        <v>332</v>
      </c>
      <c r="C333">
        <v>67</v>
      </c>
      <c r="D333">
        <v>63</v>
      </c>
      <c r="E333">
        <v>64</v>
      </c>
      <c r="F333">
        <v>66</v>
      </c>
      <c r="G333">
        <v>182</v>
      </c>
      <c r="H333">
        <v>258</v>
      </c>
      <c r="I333" t="s">
        <v>490</v>
      </c>
      <c r="J333" t="s">
        <v>832</v>
      </c>
      <c r="L333" t="s">
        <v>833</v>
      </c>
      <c r="M333" t="s">
        <v>85</v>
      </c>
      <c r="O333" t="s">
        <v>14</v>
      </c>
      <c r="P333" t="s">
        <v>834</v>
      </c>
      <c r="Q333" t="s">
        <v>835</v>
      </c>
      <c r="R333">
        <v>2019</v>
      </c>
      <c r="S333" t="s">
        <v>836</v>
      </c>
      <c r="U333" t="s">
        <v>837</v>
      </c>
      <c r="V333" t="s">
        <v>838</v>
      </c>
      <c r="W333" t="s">
        <v>91</v>
      </c>
      <c r="X333" t="s">
        <v>508</v>
      </c>
      <c r="Y333" t="s">
        <v>509</v>
      </c>
      <c r="Z333" t="s">
        <v>839</v>
      </c>
      <c r="AA333" t="s">
        <v>840</v>
      </c>
      <c r="AB333" t="s">
        <v>841</v>
      </c>
      <c r="AC333" t="s">
        <v>842</v>
      </c>
      <c r="AD333" t="s">
        <v>132</v>
      </c>
      <c r="AE333" t="s">
        <v>514</v>
      </c>
      <c r="AF333" t="s">
        <v>100</v>
      </c>
      <c r="AG333" t="s">
        <v>261</v>
      </c>
      <c r="AH333" t="s">
        <v>102</v>
      </c>
      <c r="AI333" t="s">
        <v>103</v>
      </c>
      <c r="AJ333" t="s">
        <v>135</v>
      </c>
      <c r="AK333">
        <v>14</v>
      </c>
      <c r="AL333">
        <v>20</v>
      </c>
      <c r="AM333" t="s">
        <v>843</v>
      </c>
      <c r="AN333" t="s">
        <v>106</v>
      </c>
      <c r="AO333">
        <v>33.132888888899998</v>
      </c>
      <c r="AP333">
        <v>-117.1605555556</v>
      </c>
      <c r="AQ333">
        <v>200</v>
      </c>
      <c r="AR333" t="s">
        <v>439</v>
      </c>
      <c r="AS333">
        <v>2017</v>
      </c>
      <c r="AW333" t="s">
        <v>108</v>
      </c>
      <c r="AY333" t="s">
        <v>134</v>
      </c>
      <c r="AZ333" t="s">
        <v>109</v>
      </c>
      <c r="BA333" t="s">
        <v>138</v>
      </c>
      <c r="BB333">
        <v>15</v>
      </c>
      <c r="BC333">
        <v>19.899999999999999</v>
      </c>
      <c r="BD333">
        <v>0.1</v>
      </c>
      <c r="BE333" t="s">
        <v>139</v>
      </c>
      <c r="BF333">
        <f>((11.83099+7.122736)/2)+6</f>
        <v>15.476863</v>
      </c>
      <c r="BG333">
        <v>0.33</v>
      </c>
      <c r="BP333">
        <v>12</v>
      </c>
      <c r="BS333" t="s">
        <v>847</v>
      </c>
      <c r="BU333" t="s">
        <v>848</v>
      </c>
      <c r="BV333">
        <v>38.470799999999997</v>
      </c>
      <c r="BW333">
        <v>1.5328466999999999</v>
      </c>
      <c r="BX333">
        <v>9</v>
      </c>
      <c r="BY333">
        <v>37.39781</v>
      </c>
      <c r="BZ333">
        <v>1.0346715</v>
      </c>
      <c r="CA333">
        <v>9</v>
      </c>
      <c r="CB333" t="s">
        <v>113</v>
      </c>
      <c r="CC333" t="s">
        <v>846</v>
      </c>
    </row>
    <row r="334" spans="1:81" x14ac:dyDescent="0.25">
      <c r="A334" t="s">
        <v>81</v>
      </c>
      <c r="B334">
        <v>333</v>
      </c>
      <c r="C334">
        <v>67</v>
      </c>
      <c r="D334">
        <v>63</v>
      </c>
      <c r="E334">
        <v>64</v>
      </c>
      <c r="F334">
        <v>66</v>
      </c>
      <c r="G334">
        <v>182</v>
      </c>
      <c r="H334">
        <v>259</v>
      </c>
      <c r="I334" t="s">
        <v>490</v>
      </c>
      <c r="J334" t="s">
        <v>832</v>
      </c>
      <c r="L334" t="s">
        <v>833</v>
      </c>
      <c r="M334" t="s">
        <v>85</v>
      </c>
      <c r="O334" t="s">
        <v>14</v>
      </c>
      <c r="P334" t="s">
        <v>834</v>
      </c>
      <c r="Q334" t="s">
        <v>835</v>
      </c>
      <c r="R334">
        <v>2019</v>
      </c>
      <c r="S334" t="s">
        <v>836</v>
      </c>
      <c r="U334" t="s">
        <v>837</v>
      </c>
      <c r="V334" t="s">
        <v>838</v>
      </c>
      <c r="W334" t="s">
        <v>91</v>
      </c>
      <c r="X334" t="s">
        <v>508</v>
      </c>
      <c r="Y334" t="s">
        <v>509</v>
      </c>
      <c r="Z334" t="s">
        <v>839</v>
      </c>
      <c r="AA334" t="s">
        <v>840</v>
      </c>
      <c r="AB334" t="s">
        <v>841</v>
      </c>
      <c r="AC334" t="s">
        <v>842</v>
      </c>
      <c r="AD334" t="s">
        <v>132</v>
      </c>
      <c r="AE334" t="s">
        <v>514</v>
      </c>
      <c r="AF334" t="s">
        <v>100</v>
      </c>
      <c r="AG334" t="s">
        <v>261</v>
      </c>
      <c r="AH334" t="s">
        <v>102</v>
      </c>
      <c r="AI334" t="s">
        <v>103</v>
      </c>
      <c r="AJ334" t="s">
        <v>135</v>
      </c>
      <c r="AK334">
        <v>14</v>
      </c>
      <c r="AL334">
        <v>20</v>
      </c>
      <c r="AM334" t="s">
        <v>843</v>
      </c>
      <c r="AN334" t="s">
        <v>106</v>
      </c>
      <c r="AO334">
        <v>33.132888888899998</v>
      </c>
      <c r="AP334">
        <v>-117.1605555556</v>
      </c>
      <c r="AQ334">
        <v>200</v>
      </c>
      <c r="AR334" t="s">
        <v>439</v>
      </c>
      <c r="AS334">
        <v>2017</v>
      </c>
      <c r="AW334" t="s">
        <v>108</v>
      </c>
      <c r="AY334" t="s">
        <v>134</v>
      </c>
      <c r="AZ334" t="s">
        <v>109</v>
      </c>
      <c r="BA334" t="s">
        <v>138</v>
      </c>
      <c r="BB334">
        <v>19.91</v>
      </c>
      <c r="BC334">
        <v>25.1</v>
      </c>
      <c r="BD334">
        <v>0.1</v>
      </c>
      <c r="BE334" t="s">
        <v>139</v>
      </c>
      <c r="BF334">
        <f>((7.122736+7.122736)/2)+6</f>
        <v>13.122736</v>
      </c>
      <c r="BG334">
        <v>0.33</v>
      </c>
      <c r="BP334">
        <v>12</v>
      </c>
      <c r="BS334" t="s">
        <v>847</v>
      </c>
      <c r="BU334" t="s">
        <v>848</v>
      </c>
      <c r="BV334">
        <v>37.39781</v>
      </c>
      <c r="BW334">
        <v>1.0346715</v>
      </c>
      <c r="BX334">
        <v>9</v>
      </c>
      <c r="BY334">
        <v>39.467149999999997</v>
      </c>
      <c r="BZ334">
        <v>0.49817519999999998</v>
      </c>
      <c r="CA334">
        <v>9</v>
      </c>
      <c r="CB334" t="s">
        <v>113</v>
      </c>
      <c r="CC334" t="s">
        <v>846</v>
      </c>
    </row>
    <row r="335" spans="1:81" x14ac:dyDescent="0.25">
      <c r="A335" t="s">
        <v>81</v>
      </c>
      <c r="B335">
        <v>334</v>
      </c>
      <c r="C335">
        <v>67</v>
      </c>
      <c r="D335">
        <v>63</v>
      </c>
      <c r="E335">
        <v>64</v>
      </c>
      <c r="F335">
        <v>66</v>
      </c>
      <c r="G335">
        <v>183</v>
      </c>
      <c r="H335">
        <v>260</v>
      </c>
      <c r="I335" t="s">
        <v>490</v>
      </c>
      <c r="J335" t="s">
        <v>832</v>
      </c>
      <c r="L335" t="s">
        <v>833</v>
      </c>
      <c r="M335" t="s">
        <v>85</v>
      </c>
      <c r="O335" t="s">
        <v>14</v>
      </c>
      <c r="P335" t="s">
        <v>834</v>
      </c>
      <c r="Q335" t="s">
        <v>835</v>
      </c>
      <c r="R335">
        <v>2019</v>
      </c>
      <c r="S335" t="s">
        <v>836</v>
      </c>
      <c r="U335" t="s">
        <v>837</v>
      </c>
      <c r="V335" t="s">
        <v>838</v>
      </c>
      <c r="W335" t="s">
        <v>91</v>
      </c>
      <c r="X335" t="s">
        <v>508</v>
      </c>
      <c r="Y335" t="s">
        <v>509</v>
      </c>
      <c r="Z335" t="s">
        <v>839</v>
      </c>
      <c r="AA335" t="s">
        <v>840</v>
      </c>
      <c r="AB335" t="s">
        <v>841</v>
      </c>
      <c r="AC335" t="s">
        <v>842</v>
      </c>
      <c r="AD335" t="s">
        <v>132</v>
      </c>
      <c r="AE335" t="s">
        <v>514</v>
      </c>
      <c r="AF335" t="s">
        <v>100</v>
      </c>
      <c r="AG335" t="s">
        <v>261</v>
      </c>
      <c r="AH335" t="s">
        <v>102</v>
      </c>
      <c r="AI335" t="s">
        <v>103</v>
      </c>
      <c r="AJ335" t="s">
        <v>135</v>
      </c>
      <c r="AK335">
        <v>14</v>
      </c>
      <c r="AL335">
        <v>25</v>
      </c>
      <c r="AM335" t="s">
        <v>843</v>
      </c>
      <c r="AN335" t="s">
        <v>106</v>
      </c>
      <c r="AO335">
        <v>33.132888888899998</v>
      </c>
      <c r="AP335">
        <v>-117.1605555556</v>
      </c>
      <c r="AQ335">
        <v>200</v>
      </c>
      <c r="AR335" t="s">
        <v>439</v>
      </c>
      <c r="AS335">
        <v>2017</v>
      </c>
      <c r="AW335" t="s">
        <v>108</v>
      </c>
      <c r="AY335" t="s">
        <v>103</v>
      </c>
      <c r="AZ335" t="s">
        <v>109</v>
      </c>
      <c r="BA335" t="s">
        <v>138</v>
      </c>
      <c r="BB335">
        <v>10</v>
      </c>
      <c r="BC335">
        <v>15</v>
      </c>
      <c r="BD335">
        <v>0.1</v>
      </c>
      <c r="BE335" t="s">
        <v>139</v>
      </c>
      <c r="BF335">
        <f>((21.00604+11.83099)/2)+6</f>
        <v>22.418514999999999</v>
      </c>
      <c r="BG335">
        <v>0.33</v>
      </c>
      <c r="BP335">
        <v>12</v>
      </c>
      <c r="BS335" t="s">
        <v>844</v>
      </c>
      <c r="BU335" t="s">
        <v>849</v>
      </c>
      <c r="BV335">
        <v>41.089419999999997</v>
      </c>
      <c r="BW335">
        <v>0.57481749999999998</v>
      </c>
      <c r="BX335">
        <v>9</v>
      </c>
      <c r="BY335">
        <v>39.812040000000003</v>
      </c>
      <c r="BZ335">
        <v>0.80474449999999997</v>
      </c>
      <c r="CA335">
        <v>9</v>
      </c>
      <c r="CB335" t="s">
        <v>113</v>
      </c>
      <c r="CC335" t="s">
        <v>846</v>
      </c>
    </row>
    <row r="336" spans="1:81" x14ac:dyDescent="0.25">
      <c r="A336" t="s">
        <v>81</v>
      </c>
      <c r="B336">
        <v>335</v>
      </c>
      <c r="C336">
        <v>67</v>
      </c>
      <c r="D336">
        <v>63</v>
      </c>
      <c r="E336">
        <v>64</v>
      </c>
      <c r="F336">
        <v>66</v>
      </c>
      <c r="G336">
        <v>183</v>
      </c>
      <c r="H336">
        <v>261</v>
      </c>
      <c r="I336" t="s">
        <v>490</v>
      </c>
      <c r="J336" t="s">
        <v>832</v>
      </c>
      <c r="L336" t="s">
        <v>833</v>
      </c>
      <c r="M336" t="s">
        <v>85</v>
      </c>
      <c r="O336" t="s">
        <v>14</v>
      </c>
      <c r="P336" t="s">
        <v>834</v>
      </c>
      <c r="Q336" t="s">
        <v>835</v>
      </c>
      <c r="R336">
        <v>2019</v>
      </c>
      <c r="S336" t="s">
        <v>836</v>
      </c>
      <c r="U336" t="s">
        <v>837</v>
      </c>
      <c r="V336" t="s">
        <v>838</v>
      </c>
      <c r="W336" t="s">
        <v>91</v>
      </c>
      <c r="X336" t="s">
        <v>508</v>
      </c>
      <c r="Y336" t="s">
        <v>509</v>
      </c>
      <c r="Z336" t="s">
        <v>839</v>
      </c>
      <c r="AA336" t="s">
        <v>840</v>
      </c>
      <c r="AB336" t="s">
        <v>841</v>
      </c>
      <c r="AC336" t="s">
        <v>842</v>
      </c>
      <c r="AD336" t="s">
        <v>132</v>
      </c>
      <c r="AE336" t="s">
        <v>514</v>
      </c>
      <c r="AF336" t="s">
        <v>100</v>
      </c>
      <c r="AG336" t="s">
        <v>261</v>
      </c>
      <c r="AH336" t="s">
        <v>102</v>
      </c>
      <c r="AI336" t="s">
        <v>103</v>
      </c>
      <c r="AJ336" t="s">
        <v>135</v>
      </c>
      <c r="AK336">
        <v>14</v>
      </c>
      <c r="AL336">
        <v>25</v>
      </c>
      <c r="AM336" t="s">
        <v>843</v>
      </c>
      <c r="AN336" t="s">
        <v>106</v>
      </c>
      <c r="AO336">
        <v>33.132888888899998</v>
      </c>
      <c r="AP336">
        <v>-117.1605555556</v>
      </c>
      <c r="AQ336">
        <v>200</v>
      </c>
      <c r="AR336" t="s">
        <v>439</v>
      </c>
      <c r="AS336">
        <v>2017</v>
      </c>
      <c r="AW336" t="s">
        <v>108</v>
      </c>
      <c r="AY336" t="s">
        <v>103</v>
      </c>
      <c r="AZ336" t="s">
        <v>109</v>
      </c>
      <c r="BA336" t="s">
        <v>138</v>
      </c>
      <c r="BB336">
        <v>15</v>
      </c>
      <c r="BC336">
        <v>19.899999999999999</v>
      </c>
      <c r="BD336">
        <v>0.1</v>
      </c>
      <c r="BE336" t="s">
        <v>139</v>
      </c>
      <c r="BF336">
        <f>((11.83099+7.122736)/2)+6</f>
        <v>15.476863</v>
      </c>
      <c r="BG336">
        <v>0.33</v>
      </c>
      <c r="BP336">
        <v>12</v>
      </c>
      <c r="BS336" t="s">
        <v>844</v>
      </c>
      <c r="BU336" t="s">
        <v>845</v>
      </c>
      <c r="BV336">
        <v>39.812040000000003</v>
      </c>
      <c r="BW336">
        <v>0.80474449999999997</v>
      </c>
      <c r="BX336">
        <v>9</v>
      </c>
      <c r="BY336">
        <v>39.722630000000002</v>
      </c>
      <c r="BZ336">
        <v>1.1879561999999999</v>
      </c>
      <c r="CA336">
        <v>9</v>
      </c>
      <c r="CB336" t="s">
        <v>113</v>
      </c>
      <c r="CC336" t="s">
        <v>846</v>
      </c>
    </row>
    <row r="337" spans="1:81" x14ac:dyDescent="0.25">
      <c r="A337" t="s">
        <v>81</v>
      </c>
      <c r="B337">
        <v>336</v>
      </c>
      <c r="C337">
        <v>67</v>
      </c>
      <c r="D337">
        <v>63</v>
      </c>
      <c r="E337">
        <v>64</v>
      </c>
      <c r="F337">
        <v>66</v>
      </c>
      <c r="G337">
        <v>183</v>
      </c>
      <c r="H337">
        <v>262</v>
      </c>
      <c r="I337" t="s">
        <v>490</v>
      </c>
      <c r="J337" t="s">
        <v>832</v>
      </c>
      <c r="L337" t="s">
        <v>833</v>
      </c>
      <c r="M337" t="s">
        <v>85</v>
      </c>
      <c r="O337" t="s">
        <v>14</v>
      </c>
      <c r="P337" t="s">
        <v>834</v>
      </c>
      <c r="Q337" t="s">
        <v>835</v>
      </c>
      <c r="R337">
        <v>2019</v>
      </c>
      <c r="S337" t="s">
        <v>836</v>
      </c>
      <c r="U337" t="s">
        <v>837</v>
      </c>
      <c r="V337" t="s">
        <v>838</v>
      </c>
      <c r="W337" t="s">
        <v>91</v>
      </c>
      <c r="X337" t="s">
        <v>508</v>
      </c>
      <c r="Y337" t="s">
        <v>509</v>
      </c>
      <c r="Z337" t="s">
        <v>839</v>
      </c>
      <c r="AA337" t="s">
        <v>840</v>
      </c>
      <c r="AB337" t="s">
        <v>841</v>
      </c>
      <c r="AC337" t="s">
        <v>842</v>
      </c>
      <c r="AD337" t="s">
        <v>132</v>
      </c>
      <c r="AE337" t="s">
        <v>514</v>
      </c>
      <c r="AF337" t="s">
        <v>100</v>
      </c>
      <c r="AG337" t="s">
        <v>261</v>
      </c>
      <c r="AH337" t="s">
        <v>102</v>
      </c>
      <c r="AI337" t="s">
        <v>103</v>
      </c>
      <c r="AJ337" t="s">
        <v>135</v>
      </c>
      <c r="AK337">
        <v>14</v>
      </c>
      <c r="AL337">
        <v>25</v>
      </c>
      <c r="AM337" t="s">
        <v>843</v>
      </c>
      <c r="AN337" t="s">
        <v>106</v>
      </c>
      <c r="AO337">
        <v>33.132888888899998</v>
      </c>
      <c r="AP337">
        <v>-117.1605555556</v>
      </c>
      <c r="AQ337">
        <v>200</v>
      </c>
      <c r="AR337" t="s">
        <v>439</v>
      </c>
      <c r="AS337">
        <v>2017</v>
      </c>
      <c r="AW337" t="s">
        <v>108</v>
      </c>
      <c r="AY337" t="s">
        <v>134</v>
      </c>
      <c r="AZ337" t="s">
        <v>109</v>
      </c>
      <c r="BA337" t="s">
        <v>138</v>
      </c>
      <c r="BB337">
        <v>19.91</v>
      </c>
      <c r="BC337">
        <v>25.1</v>
      </c>
      <c r="BD337">
        <v>0.1</v>
      </c>
      <c r="BE337" t="s">
        <v>139</v>
      </c>
      <c r="BF337">
        <f>((7.122736+7.122736)/2)+6</f>
        <v>13.122736</v>
      </c>
      <c r="BG337">
        <v>0.33</v>
      </c>
      <c r="BP337">
        <v>12</v>
      </c>
      <c r="BS337" t="s">
        <v>847</v>
      </c>
      <c r="BU337" t="s">
        <v>850</v>
      </c>
      <c r="BV337">
        <v>39.722630000000002</v>
      </c>
      <c r="BW337">
        <v>1.1879561999999999</v>
      </c>
      <c r="BX337">
        <v>9</v>
      </c>
      <c r="BY337">
        <v>40.731749999999998</v>
      </c>
      <c r="BZ337">
        <v>0.76642339999999998</v>
      </c>
      <c r="CA337">
        <v>9</v>
      </c>
      <c r="CB337" t="s">
        <v>113</v>
      </c>
      <c r="CC337" t="s">
        <v>846</v>
      </c>
    </row>
    <row r="338" spans="1:81" x14ac:dyDescent="0.25">
      <c r="A338" t="s">
        <v>81</v>
      </c>
      <c r="B338">
        <v>337</v>
      </c>
      <c r="C338">
        <v>68</v>
      </c>
      <c r="D338">
        <v>26</v>
      </c>
      <c r="E338">
        <v>65</v>
      </c>
      <c r="F338">
        <v>67</v>
      </c>
      <c r="G338">
        <v>184</v>
      </c>
      <c r="H338">
        <v>263</v>
      </c>
      <c r="I338" t="s">
        <v>851</v>
      </c>
      <c r="J338" t="s">
        <v>338</v>
      </c>
      <c r="L338" t="s">
        <v>852</v>
      </c>
      <c r="M338" t="s">
        <v>85</v>
      </c>
      <c r="O338" t="s">
        <v>14</v>
      </c>
      <c r="P338" t="s">
        <v>853</v>
      </c>
      <c r="Q338" t="s">
        <v>854</v>
      </c>
      <c r="R338">
        <v>2018</v>
      </c>
      <c r="S338" t="s">
        <v>790</v>
      </c>
      <c r="U338" t="s">
        <v>855</v>
      </c>
      <c r="V338" t="s">
        <v>856</v>
      </c>
      <c r="W338" t="s">
        <v>91</v>
      </c>
      <c r="X338" t="s">
        <v>126</v>
      </c>
      <c r="Y338" t="s">
        <v>190</v>
      </c>
      <c r="Z338" t="s">
        <v>191</v>
      </c>
      <c r="AA338" t="s">
        <v>192</v>
      </c>
      <c r="AB338" t="s">
        <v>401</v>
      </c>
      <c r="AC338" t="s">
        <v>402</v>
      </c>
      <c r="AD338" t="s">
        <v>132</v>
      </c>
      <c r="AE338" t="s">
        <v>133</v>
      </c>
      <c r="AF338" t="s">
        <v>100</v>
      </c>
      <c r="AG338" t="s">
        <v>261</v>
      </c>
      <c r="AH338" t="s">
        <v>102</v>
      </c>
      <c r="AI338" t="s">
        <v>134</v>
      </c>
      <c r="AJ338" t="s">
        <v>135</v>
      </c>
      <c r="AM338" t="s">
        <v>178</v>
      </c>
      <c r="AN338" t="s">
        <v>106</v>
      </c>
      <c r="AO338">
        <v>50.016666666699997</v>
      </c>
      <c r="AP338">
        <v>-125.30194444439999</v>
      </c>
      <c r="AQ338">
        <v>27</v>
      </c>
      <c r="AR338" t="s">
        <v>179</v>
      </c>
      <c r="AS338">
        <v>2012</v>
      </c>
      <c r="AU338">
        <f>(0.56+0.54)/2</f>
        <v>0.55000000000000004</v>
      </c>
      <c r="AW338" t="s">
        <v>108</v>
      </c>
      <c r="AZ338" t="s">
        <v>109</v>
      </c>
      <c r="BA338" t="s">
        <v>110</v>
      </c>
      <c r="BB338">
        <v>5.6</v>
      </c>
      <c r="BC338">
        <v>10</v>
      </c>
      <c r="BD338">
        <f>(1.7+1.5)/2</f>
        <v>1.6</v>
      </c>
      <c r="BE338" t="s">
        <v>111</v>
      </c>
      <c r="BG338">
        <v>0.3</v>
      </c>
      <c r="BU338" t="s">
        <v>857</v>
      </c>
      <c r="BV338">
        <v>25.03172</v>
      </c>
      <c r="BW338">
        <v>0.50584309999999999</v>
      </c>
      <c r="BX338">
        <v>10</v>
      </c>
      <c r="BY338">
        <v>26.233720000000002</v>
      </c>
      <c r="BZ338">
        <v>0.40066780000000002</v>
      </c>
      <c r="CA338">
        <v>10</v>
      </c>
      <c r="CB338" t="s">
        <v>113</v>
      </c>
      <c r="CC338" t="s">
        <v>858</v>
      </c>
    </row>
    <row r="339" spans="1:81" x14ac:dyDescent="0.25">
      <c r="A339" t="s">
        <v>81</v>
      </c>
      <c r="B339">
        <v>338</v>
      </c>
      <c r="C339">
        <v>68</v>
      </c>
      <c r="D339">
        <v>26</v>
      </c>
      <c r="E339">
        <v>65</v>
      </c>
      <c r="F339">
        <v>68</v>
      </c>
      <c r="G339">
        <v>185</v>
      </c>
      <c r="H339">
        <v>264</v>
      </c>
      <c r="I339" t="s">
        <v>851</v>
      </c>
      <c r="J339" t="s">
        <v>338</v>
      </c>
      <c r="L339" t="s">
        <v>852</v>
      </c>
      <c r="M339" t="s">
        <v>85</v>
      </c>
      <c r="O339" t="s">
        <v>14</v>
      </c>
      <c r="P339" t="s">
        <v>853</v>
      </c>
      <c r="Q339" t="s">
        <v>854</v>
      </c>
      <c r="R339">
        <v>2018</v>
      </c>
      <c r="S339" t="s">
        <v>790</v>
      </c>
      <c r="U339" t="s">
        <v>855</v>
      </c>
      <c r="V339" t="s">
        <v>856</v>
      </c>
      <c r="W339" t="s">
        <v>91</v>
      </c>
      <c r="X339" t="s">
        <v>126</v>
      </c>
      <c r="Y339" t="s">
        <v>190</v>
      </c>
      <c r="Z339" t="s">
        <v>191</v>
      </c>
      <c r="AA339" t="s">
        <v>192</v>
      </c>
      <c r="AB339" t="s">
        <v>401</v>
      </c>
      <c r="AC339" t="s">
        <v>402</v>
      </c>
      <c r="AD339" t="s">
        <v>132</v>
      </c>
      <c r="AE339" t="s">
        <v>133</v>
      </c>
      <c r="AF339" t="s">
        <v>100</v>
      </c>
      <c r="AG339" t="s">
        <v>261</v>
      </c>
      <c r="AH339" t="s">
        <v>102</v>
      </c>
      <c r="AI339" t="s">
        <v>134</v>
      </c>
      <c r="AJ339" t="s">
        <v>135</v>
      </c>
      <c r="AM339" t="s">
        <v>178</v>
      </c>
      <c r="AN339" t="s">
        <v>106</v>
      </c>
      <c r="AO339">
        <v>50.016666666699997</v>
      </c>
      <c r="AP339">
        <v>-125.30194444439999</v>
      </c>
      <c r="AQ339">
        <v>27</v>
      </c>
      <c r="AR339" t="s">
        <v>179</v>
      </c>
      <c r="AS339">
        <v>2012</v>
      </c>
      <c r="AU339">
        <f>(0.56+0.54)/2</f>
        <v>0.55000000000000004</v>
      </c>
      <c r="AW339" t="s">
        <v>108</v>
      </c>
      <c r="AZ339" t="s">
        <v>109</v>
      </c>
      <c r="BA339" t="s">
        <v>110</v>
      </c>
      <c r="BB339">
        <v>5.6</v>
      </c>
      <c r="BC339">
        <v>10</v>
      </c>
      <c r="BD339">
        <f>(1.7+1.5)/2</f>
        <v>1.6</v>
      </c>
      <c r="BE339" t="s">
        <v>111</v>
      </c>
      <c r="BG339">
        <v>0.3</v>
      </c>
      <c r="BU339" t="s">
        <v>859</v>
      </c>
      <c r="BV339">
        <v>25.096830000000001</v>
      </c>
      <c r="BW339">
        <v>0.50584309999999999</v>
      </c>
      <c r="BX339">
        <v>10</v>
      </c>
      <c r="BY339">
        <v>25.497499999999999</v>
      </c>
      <c r="BZ339">
        <v>0.58597659999999996</v>
      </c>
      <c r="CA339">
        <v>10</v>
      </c>
      <c r="CB339" t="s">
        <v>113</v>
      </c>
      <c r="CC339" t="s">
        <v>858</v>
      </c>
    </row>
    <row r="340" spans="1:81" x14ac:dyDescent="0.25">
      <c r="A340" t="s">
        <v>81</v>
      </c>
      <c r="B340">
        <v>339</v>
      </c>
      <c r="C340">
        <v>68</v>
      </c>
      <c r="D340">
        <v>26</v>
      </c>
      <c r="E340">
        <v>65</v>
      </c>
      <c r="F340">
        <v>69</v>
      </c>
      <c r="G340">
        <v>186</v>
      </c>
      <c r="H340">
        <v>265</v>
      </c>
      <c r="I340" t="s">
        <v>851</v>
      </c>
      <c r="J340" t="s">
        <v>338</v>
      </c>
      <c r="L340" t="s">
        <v>852</v>
      </c>
      <c r="M340" t="s">
        <v>85</v>
      </c>
      <c r="O340" t="s">
        <v>14</v>
      </c>
      <c r="P340" t="s">
        <v>853</v>
      </c>
      <c r="Q340" t="s">
        <v>854</v>
      </c>
      <c r="R340">
        <v>2018</v>
      </c>
      <c r="S340" t="s">
        <v>790</v>
      </c>
      <c r="U340" t="s">
        <v>855</v>
      </c>
      <c r="V340" t="s">
        <v>856</v>
      </c>
      <c r="W340" t="s">
        <v>91</v>
      </c>
      <c r="X340" t="s">
        <v>126</v>
      </c>
      <c r="Y340" t="s">
        <v>190</v>
      </c>
      <c r="Z340" t="s">
        <v>191</v>
      </c>
      <c r="AA340" t="s">
        <v>192</v>
      </c>
      <c r="AB340" t="s">
        <v>401</v>
      </c>
      <c r="AC340" t="s">
        <v>402</v>
      </c>
      <c r="AD340" t="s">
        <v>132</v>
      </c>
      <c r="AE340" t="s">
        <v>133</v>
      </c>
      <c r="AF340" t="s">
        <v>100</v>
      </c>
      <c r="AG340" t="s">
        <v>261</v>
      </c>
      <c r="AH340" t="s">
        <v>102</v>
      </c>
      <c r="AI340" t="s">
        <v>134</v>
      </c>
      <c r="AJ340" t="s">
        <v>135</v>
      </c>
      <c r="AM340" t="s">
        <v>178</v>
      </c>
      <c r="AN340" t="s">
        <v>106</v>
      </c>
      <c r="AO340">
        <v>50.016666666699997</v>
      </c>
      <c r="AP340">
        <v>-125.30194444439999</v>
      </c>
      <c r="AQ340">
        <v>27</v>
      </c>
      <c r="AR340" t="s">
        <v>179</v>
      </c>
      <c r="AS340">
        <v>2012</v>
      </c>
      <c r="AU340">
        <f>(0.56+0.54)/2</f>
        <v>0.55000000000000004</v>
      </c>
      <c r="AW340" t="s">
        <v>108</v>
      </c>
      <c r="AZ340" t="s">
        <v>109</v>
      </c>
      <c r="BA340" t="s">
        <v>110</v>
      </c>
      <c r="BB340">
        <v>5.6</v>
      </c>
      <c r="BC340">
        <v>10</v>
      </c>
      <c r="BD340">
        <f>(1.7+1.5)/2</f>
        <v>1.6</v>
      </c>
      <c r="BE340" t="s">
        <v>111</v>
      </c>
      <c r="BG340">
        <v>0.3</v>
      </c>
      <c r="BU340" t="s">
        <v>860</v>
      </c>
      <c r="BV340">
        <v>24.966609999999999</v>
      </c>
      <c r="BW340">
        <v>0.41068450000000001</v>
      </c>
      <c r="BX340">
        <v>10</v>
      </c>
      <c r="BY340">
        <v>26.504169999999998</v>
      </c>
      <c r="BZ340">
        <v>0.19031719999999999</v>
      </c>
      <c r="CA340">
        <v>10</v>
      </c>
      <c r="CB340" t="s">
        <v>113</v>
      </c>
      <c r="CC340" t="s">
        <v>858</v>
      </c>
    </row>
    <row r="341" spans="1:81" x14ac:dyDescent="0.25">
      <c r="A341" t="s">
        <v>81</v>
      </c>
      <c r="B341">
        <v>340</v>
      </c>
      <c r="C341">
        <v>68</v>
      </c>
      <c r="D341">
        <v>26</v>
      </c>
      <c r="E341">
        <v>65</v>
      </c>
      <c r="F341">
        <v>70</v>
      </c>
      <c r="G341">
        <v>187</v>
      </c>
      <c r="H341">
        <v>266</v>
      </c>
      <c r="I341" t="s">
        <v>851</v>
      </c>
      <c r="J341" t="s">
        <v>338</v>
      </c>
      <c r="L341" t="s">
        <v>852</v>
      </c>
      <c r="M341" t="s">
        <v>85</v>
      </c>
      <c r="O341" t="s">
        <v>14</v>
      </c>
      <c r="P341" t="s">
        <v>853</v>
      </c>
      <c r="Q341" t="s">
        <v>854</v>
      </c>
      <c r="R341">
        <v>2018</v>
      </c>
      <c r="S341" t="s">
        <v>790</v>
      </c>
      <c r="U341" t="s">
        <v>855</v>
      </c>
      <c r="V341" t="s">
        <v>856</v>
      </c>
      <c r="W341" t="s">
        <v>91</v>
      </c>
      <c r="X341" t="s">
        <v>126</v>
      </c>
      <c r="Y341" t="s">
        <v>190</v>
      </c>
      <c r="Z341" t="s">
        <v>191</v>
      </c>
      <c r="AA341" t="s">
        <v>192</v>
      </c>
      <c r="AB341" t="s">
        <v>401</v>
      </c>
      <c r="AC341" t="s">
        <v>402</v>
      </c>
      <c r="AD341" t="s">
        <v>132</v>
      </c>
      <c r="AE341" t="s">
        <v>133</v>
      </c>
      <c r="AF341" t="s">
        <v>100</v>
      </c>
      <c r="AG341" t="s">
        <v>261</v>
      </c>
      <c r="AH341" t="s">
        <v>102</v>
      </c>
      <c r="AI341" t="s">
        <v>134</v>
      </c>
      <c r="AJ341" t="s">
        <v>135</v>
      </c>
      <c r="AM341" t="s">
        <v>178</v>
      </c>
      <c r="AN341" t="s">
        <v>106</v>
      </c>
      <c r="AO341">
        <v>50.016666666699997</v>
      </c>
      <c r="AP341">
        <v>-125.30194444439999</v>
      </c>
      <c r="AQ341">
        <v>27</v>
      </c>
      <c r="AR341" t="s">
        <v>179</v>
      </c>
      <c r="AS341">
        <v>2012</v>
      </c>
      <c r="AU341">
        <f>(0.56+0.54)/2</f>
        <v>0.55000000000000004</v>
      </c>
      <c r="AW341" t="s">
        <v>108</v>
      </c>
      <c r="AZ341" t="s">
        <v>109</v>
      </c>
      <c r="BA341" t="s">
        <v>110</v>
      </c>
      <c r="BB341">
        <v>5.6</v>
      </c>
      <c r="BC341">
        <v>10</v>
      </c>
      <c r="BD341">
        <f>(1.7+1.5)/2</f>
        <v>1.6</v>
      </c>
      <c r="BE341" t="s">
        <v>111</v>
      </c>
      <c r="BG341">
        <v>0.3</v>
      </c>
      <c r="BU341" t="s">
        <v>861</v>
      </c>
      <c r="BV341">
        <v>24.89649</v>
      </c>
      <c r="BW341">
        <v>0.3856427</v>
      </c>
      <c r="BX341">
        <v>10</v>
      </c>
      <c r="BY341">
        <v>26.163609999999998</v>
      </c>
      <c r="BZ341">
        <v>0.34557599999999999</v>
      </c>
      <c r="CA341">
        <v>10</v>
      </c>
      <c r="CB341" t="s">
        <v>113</v>
      </c>
      <c r="CC341" t="s">
        <v>858</v>
      </c>
    </row>
    <row r="342" spans="1:81" x14ac:dyDescent="0.25">
      <c r="A342" t="s">
        <v>81</v>
      </c>
      <c r="B342">
        <v>341</v>
      </c>
      <c r="C342">
        <v>69</v>
      </c>
      <c r="D342">
        <v>64</v>
      </c>
      <c r="E342">
        <v>66</v>
      </c>
      <c r="F342">
        <v>71</v>
      </c>
      <c r="G342">
        <v>188</v>
      </c>
      <c r="H342">
        <v>267</v>
      </c>
      <c r="I342" t="s">
        <v>862</v>
      </c>
      <c r="J342" t="s">
        <v>413</v>
      </c>
      <c r="L342" t="s">
        <v>863</v>
      </c>
      <c r="M342" t="s">
        <v>85</v>
      </c>
      <c r="O342" t="s">
        <v>14</v>
      </c>
      <c r="P342" t="s">
        <v>864</v>
      </c>
      <c r="Q342" t="s">
        <v>865</v>
      </c>
      <c r="R342">
        <v>2018</v>
      </c>
      <c r="S342" t="s">
        <v>866</v>
      </c>
      <c r="U342" t="s">
        <v>867</v>
      </c>
      <c r="V342" t="s">
        <v>868</v>
      </c>
      <c r="W342" t="s">
        <v>170</v>
      </c>
      <c r="X342" t="s">
        <v>171</v>
      </c>
      <c r="Y342" t="s">
        <v>329</v>
      </c>
      <c r="Z342" t="s">
        <v>869</v>
      </c>
      <c r="AA342" t="s">
        <v>870</v>
      </c>
      <c r="AB342" t="s">
        <v>871</v>
      </c>
      <c r="AC342" t="s">
        <v>872</v>
      </c>
      <c r="AD342" t="s">
        <v>98</v>
      </c>
      <c r="AE342" t="s">
        <v>177</v>
      </c>
      <c r="AF342" t="s">
        <v>100</v>
      </c>
      <c r="AG342" t="s">
        <v>102</v>
      </c>
      <c r="AH342" t="s">
        <v>102</v>
      </c>
      <c r="AI342" t="s">
        <v>134</v>
      </c>
      <c r="AJ342" t="s">
        <v>135</v>
      </c>
      <c r="AM342" t="s">
        <v>136</v>
      </c>
      <c r="AN342" t="s">
        <v>106</v>
      </c>
      <c r="AW342" t="s">
        <v>108</v>
      </c>
      <c r="AX342">
        <v>25</v>
      </c>
      <c r="AY342" t="s">
        <v>134</v>
      </c>
      <c r="AZ342" t="s">
        <v>109</v>
      </c>
      <c r="BA342" t="s">
        <v>180</v>
      </c>
      <c r="BB342">
        <v>20</v>
      </c>
      <c r="BC342">
        <v>25</v>
      </c>
      <c r="BE342" t="s">
        <v>139</v>
      </c>
      <c r="BF342">
        <v>3</v>
      </c>
      <c r="BG342">
        <v>0.25</v>
      </c>
      <c r="BL342">
        <v>75</v>
      </c>
      <c r="BP342">
        <v>12</v>
      </c>
      <c r="BU342" t="s">
        <v>873</v>
      </c>
      <c r="BV342">
        <v>46.79175</v>
      </c>
      <c r="BW342">
        <v>0.75846760000000002</v>
      </c>
      <c r="BX342">
        <v>40</v>
      </c>
      <c r="BY342">
        <v>46.828870000000002</v>
      </c>
      <c r="BZ342">
        <v>0.77842730000000004</v>
      </c>
      <c r="CA342">
        <v>40</v>
      </c>
      <c r="CB342" t="s">
        <v>113</v>
      </c>
      <c r="CC342" t="s">
        <v>319</v>
      </c>
    </row>
    <row r="343" spans="1:81" x14ac:dyDescent="0.25">
      <c r="A343" t="s">
        <v>81</v>
      </c>
      <c r="B343">
        <v>342</v>
      </c>
      <c r="C343">
        <v>69</v>
      </c>
      <c r="D343">
        <v>64</v>
      </c>
      <c r="E343">
        <v>66</v>
      </c>
      <c r="F343">
        <v>71</v>
      </c>
      <c r="G343">
        <v>188</v>
      </c>
      <c r="H343">
        <v>268</v>
      </c>
      <c r="I343" t="s">
        <v>862</v>
      </c>
      <c r="J343" t="s">
        <v>413</v>
      </c>
      <c r="L343" t="s">
        <v>863</v>
      </c>
      <c r="M343" t="s">
        <v>85</v>
      </c>
      <c r="O343" t="s">
        <v>14</v>
      </c>
      <c r="P343" t="s">
        <v>864</v>
      </c>
      <c r="Q343" t="s">
        <v>865</v>
      </c>
      <c r="R343">
        <v>2018</v>
      </c>
      <c r="S343" t="s">
        <v>866</v>
      </c>
      <c r="U343" t="s">
        <v>867</v>
      </c>
      <c r="V343" t="s">
        <v>868</v>
      </c>
      <c r="W343" t="s">
        <v>170</v>
      </c>
      <c r="X343" t="s">
        <v>171</v>
      </c>
      <c r="Y343" t="s">
        <v>329</v>
      </c>
      <c r="Z343" t="s">
        <v>869</v>
      </c>
      <c r="AA343" t="s">
        <v>870</v>
      </c>
      <c r="AB343" t="s">
        <v>871</v>
      </c>
      <c r="AC343" t="s">
        <v>872</v>
      </c>
      <c r="AD343" t="s">
        <v>98</v>
      </c>
      <c r="AE343" t="s">
        <v>177</v>
      </c>
      <c r="AF343" t="s">
        <v>100</v>
      </c>
      <c r="AG343" t="s">
        <v>102</v>
      </c>
      <c r="AH343" t="s">
        <v>102</v>
      </c>
      <c r="AI343" t="s">
        <v>134</v>
      </c>
      <c r="AJ343" t="s">
        <v>135</v>
      </c>
      <c r="AM343" t="s">
        <v>136</v>
      </c>
      <c r="AN343" t="s">
        <v>106</v>
      </c>
      <c r="AW343" t="s">
        <v>108</v>
      </c>
      <c r="AX343">
        <v>25</v>
      </c>
      <c r="AY343" t="s">
        <v>134</v>
      </c>
      <c r="AZ343" t="s">
        <v>109</v>
      </c>
      <c r="BA343" t="s">
        <v>180</v>
      </c>
      <c r="BB343">
        <v>25</v>
      </c>
      <c r="BC343">
        <v>30</v>
      </c>
      <c r="BE343" t="s">
        <v>139</v>
      </c>
      <c r="BF343">
        <v>3</v>
      </c>
      <c r="BG343">
        <v>0.25</v>
      </c>
      <c r="BL343">
        <v>75</v>
      </c>
      <c r="BP343">
        <v>12</v>
      </c>
      <c r="BU343" t="s">
        <v>873</v>
      </c>
      <c r="BV343">
        <v>46.828870000000002</v>
      </c>
      <c r="BW343">
        <v>0.77842730000000004</v>
      </c>
      <c r="BX343">
        <v>40</v>
      </c>
      <c r="BY343">
        <v>46.884540000000001</v>
      </c>
      <c r="BZ343">
        <v>0.71854830000000003</v>
      </c>
      <c r="CA343">
        <v>40</v>
      </c>
      <c r="CB343" t="s">
        <v>113</v>
      </c>
      <c r="CC343" t="s">
        <v>319</v>
      </c>
    </row>
    <row r="344" spans="1:81" x14ac:dyDescent="0.25">
      <c r="A344" t="s">
        <v>81</v>
      </c>
      <c r="B344">
        <v>343</v>
      </c>
      <c r="C344">
        <v>69</v>
      </c>
      <c r="D344">
        <v>65</v>
      </c>
      <c r="E344">
        <v>67</v>
      </c>
      <c r="F344">
        <v>72</v>
      </c>
      <c r="G344">
        <v>189</v>
      </c>
      <c r="H344">
        <v>269</v>
      </c>
      <c r="I344" t="s">
        <v>862</v>
      </c>
      <c r="J344" t="s">
        <v>413</v>
      </c>
      <c r="L344" t="s">
        <v>863</v>
      </c>
      <c r="M344" t="s">
        <v>85</v>
      </c>
      <c r="O344" t="s">
        <v>14</v>
      </c>
      <c r="P344" t="s">
        <v>864</v>
      </c>
      <c r="Q344" t="s">
        <v>865</v>
      </c>
      <c r="R344">
        <v>2018</v>
      </c>
      <c r="S344" t="s">
        <v>866</v>
      </c>
      <c r="U344" t="s">
        <v>867</v>
      </c>
      <c r="V344" t="s">
        <v>868</v>
      </c>
      <c r="W344" t="s">
        <v>170</v>
      </c>
      <c r="X344" t="s">
        <v>171</v>
      </c>
      <c r="Y344" t="s">
        <v>329</v>
      </c>
      <c r="Z344" t="s">
        <v>869</v>
      </c>
      <c r="AA344" t="s">
        <v>874</v>
      </c>
      <c r="AB344" t="s">
        <v>875</v>
      </c>
      <c r="AC344" t="s">
        <v>876</v>
      </c>
      <c r="AD344" t="s">
        <v>98</v>
      </c>
      <c r="AE344" t="s">
        <v>177</v>
      </c>
      <c r="AF344" t="s">
        <v>100</v>
      </c>
      <c r="AG344" t="s">
        <v>102</v>
      </c>
      <c r="AH344" t="s">
        <v>102</v>
      </c>
      <c r="AI344" t="s">
        <v>134</v>
      </c>
      <c r="AJ344" t="s">
        <v>135</v>
      </c>
      <c r="AM344" t="s">
        <v>136</v>
      </c>
      <c r="AN344" t="s">
        <v>106</v>
      </c>
      <c r="AW344" t="s">
        <v>108</v>
      </c>
      <c r="AX344">
        <v>28</v>
      </c>
      <c r="AY344" t="s">
        <v>134</v>
      </c>
      <c r="AZ344" t="s">
        <v>109</v>
      </c>
      <c r="BA344" t="s">
        <v>180</v>
      </c>
      <c r="BB344">
        <v>23</v>
      </c>
      <c r="BC344">
        <v>28</v>
      </c>
      <c r="BE344" t="s">
        <v>139</v>
      </c>
      <c r="BF344">
        <v>3</v>
      </c>
      <c r="BG344">
        <v>0.25</v>
      </c>
      <c r="BL344">
        <v>65</v>
      </c>
      <c r="BP344">
        <v>12</v>
      </c>
      <c r="BU344" t="s">
        <v>873</v>
      </c>
      <c r="BV344">
        <v>47.725769999999997</v>
      </c>
      <c r="BW344">
        <v>0.75846760000000002</v>
      </c>
      <c r="BX344">
        <v>40</v>
      </c>
      <c r="BY344">
        <v>48.053609999999999</v>
      </c>
      <c r="BZ344">
        <v>0.77842730000000004</v>
      </c>
      <c r="CA344">
        <v>40</v>
      </c>
      <c r="CB344" t="s">
        <v>113</v>
      </c>
      <c r="CC344" t="s">
        <v>319</v>
      </c>
    </row>
    <row r="345" spans="1:81" x14ac:dyDescent="0.25">
      <c r="A345" t="s">
        <v>81</v>
      </c>
      <c r="B345">
        <v>344</v>
      </c>
      <c r="C345">
        <v>69</v>
      </c>
      <c r="D345">
        <v>65</v>
      </c>
      <c r="E345">
        <v>67</v>
      </c>
      <c r="F345">
        <v>72</v>
      </c>
      <c r="G345">
        <v>189</v>
      </c>
      <c r="H345">
        <v>270</v>
      </c>
      <c r="I345" t="s">
        <v>862</v>
      </c>
      <c r="J345" t="s">
        <v>413</v>
      </c>
      <c r="L345" t="s">
        <v>863</v>
      </c>
      <c r="M345" t="s">
        <v>85</v>
      </c>
      <c r="O345" t="s">
        <v>14</v>
      </c>
      <c r="P345" t="s">
        <v>864</v>
      </c>
      <c r="Q345" t="s">
        <v>865</v>
      </c>
      <c r="R345">
        <v>2018</v>
      </c>
      <c r="S345" t="s">
        <v>866</v>
      </c>
      <c r="U345" t="s">
        <v>867</v>
      </c>
      <c r="V345" t="s">
        <v>868</v>
      </c>
      <c r="W345" t="s">
        <v>170</v>
      </c>
      <c r="X345" t="s">
        <v>171</v>
      </c>
      <c r="Y345" t="s">
        <v>329</v>
      </c>
      <c r="Z345" t="s">
        <v>869</v>
      </c>
      <c r="AA345" t="s">
        <v>874</v>
      </c>
      <c r="AB345" t="s">
        <v>875</v>
      </c>
      <c r="AC345" t="s">
        <v>876</v>
      </c>
      <c r="AD345" t="s">
        <v>98</v>
      </c>
      <c r="AE345" t="s">
        <v>177</v>
      </c>
      <c r="AF345" t="s">
        <v>100</v>
      </c>
      <c r="AG345" t="s">
        <v>102</v>
      </c>
      <c r="AH345" t="s">
        <v>102</v>
      </c>
      <c r="AI345" t="s">
        <v>134</v>
      </c>
      <c r="AJ345" t="s">
        <v>135</v>
      </c>
      <c r="AM345" t="s">
        <v>136</v>
      </c>
      <c r="AN345" t="s">
        <v>106</v>
      </c>
      <c r="AW345" t="s">
        <v>108</v>
      </c>
      <c r="AX345">
        <v>28</v>
      </c>
      <c r="AY345" t="s">
        <v>134</v>
      </c>
      <c r="AZ345" t="s">
        <v>109</v>
      </c>
      <c r="BA345" t="s">
        <v>180</v>
      </c>
      <c r="BB345">
        <v>28</v>
      </c>
      <c r="BC345">
        <v>33</v>
      </c>
      <c r="BE345" t="s">
        <v>139</v>
      </c>
      <c r="BF345">
        <v>3</v>
      </c>
      <c r="BG345">
        <v>0.25</v>
      </c>
      <c r="BL345">
        <v>65</v>
      </c>
      <c r="BP345">
        <v>12</v>
      </c>
      <c r="BU345" t="s">
        <v>873</v>
      </c>
      <c r="BV345">
        <v>48.053609999999999</v>
      </c>
      <c r="BW345">
        <v>0.77842730000000004</v>
      </c>
      <c r="BX345">
        <v>40</v>
      </c>
      <c r="BY345">
        <v>47.830930000000002</v>
      </c>
      <c r="BZ345">
        <v>0.75846760000000002</v>
      </c>
      <c r="CA345">
        <v>40</v>
      </c>
      <c r="CB345" t="s">
        <v>113</v>
      </c>
      <c r="CC345" t="s">
        <v>319</v>
      </c>
    </row>
    <row r="346" spans="1:81" x14ac:dyDescent="0.25">
      <c r="A346" t="s">
        <v>81</v>
      </c>
      <c r="B346">
        <v>345</v>
      </c>
      <c r="C346">
        <v>69</v>
      </c>
      <c r="D346">
        <v>66</v>
      </c>
      <c r="E346">
        <v>68</v>
      </c>
      <c r="F346">
        <v>73</v>
      </c>
      <c r="G346">
        <v>190</v>
      </c>
      <c r="H346">
        <v>271</v>
      </c>
      <c r="I346" t="s">
        <v>862</v>
      </c>
      <c r="J346" t="s">
        <v>413</v>
      </c>
      <c r="L346" t="s">
        <v>863</v>
      </c>
      <c r="M346" t="s">
        <v>85</v>
      </c>
      <c r="O346" t="s">
        <v>14</v>
      </c>
      <c r="P346" t="s">
        <v>864</v>
      </c>
      <c r="Q346" t="s">
        <v>865</v>
      </c>
      <c r="R346">
        <v>2018</v>
      </c>
      <c r="S346" t="s">
        <v>866</v>
      </c>
      <c r="U346" t="s">
        <v>867</v>
      </c>
      <c r="V346" t="s">
        <v>868</v>
      </c>
      <c r="W346" t="s">
        <v>170</v>
      </c>
      <c r="X346" t="s">
        <v>171</v>
      </c>
      <c r="Y346" t="s">
        <v>329</v>
      </c>
      <c r="Z346" t="s">
        <v>877</v>
      </c>
      <c r="AA346" t="s">
        <v>878</v>
      </c>
      <c r="AB346" t="s">
        <v>879</v>
      </c>
      <c r="AC346" t="s">
        <v>880</v>
      </c>
      <c r="AD346" t="s">
        <v>98</v>
      </c>
      <c r="AE346" t="s">
        <v>177</v>
      </c>
      <c r="AF346" t="s">
        <v>100</v>
      </c>
      <c r="AG346" t="s">
        <v>102</v>
      </c>
      <c r="AH346" t="s">
        <v>102</v>
      </c>
      <c r="AI346" t="s">
        <v>134</v>
      </c>
      <c r="AJ346" t="s">
        <v>135</v>
      </c>
      <c r="AM346" t="s">
        <v>136</v>
      </c>
      <c r="AN346" t="s">
        <v>106</v>
      </c>
      <c r="AW346" t="s">
        <v>108</v>
      </c>
      <c r="AX346">
        <v>28</v>
      </c>
      <c r="AY346" t="s">
        <v>134</v>
      </c>
      <c r="AZ346" t="s">
        <v>109</v>
      </c>
      <c r="BA346" t="s">
        <v>180</v>
      </c>
      <c r="BB346">
        <v>23</v>
      </c>
      <c r="BC346">
        <v>28</v>
      </c>
      <c r="BE346" t="s">
        <v>139</v>
      </c>
      <c r="BF346">
        <v>3</v>
      </c>
      <c r="BG346">
        <v>0.25</v>
      </c>
      <c r="BL346">
        <v>65</v>
      </c>
      <c r="BP346">
        <v>12</v>
      </c>
      <c r="BU346" t="s">
        <v>873</v>
      </c>
      <c r="BV346">
        <v>48.626530000000002</v>
      </c>
      <c r="BW346">
        <v>0.78426490000000004</v>
      </c>
      <c r="BX346">
        <v>40</v>
      </c>
      <c r="BY346">
        <v>48.505009999999999</v>
      </c>
      <c r="BZ346">
        <v>0.76362629999999998</v>
      </c>
      <c r="CA346">
        <v>40</v>
      </c>
      <c r="CB346" t="s">
        <v>113</v>
      </c>
      <c r="CC346" t="s">
        <v>319</v>
      </c>
    </row>
    <row r="347" spans="1:81" x14ac:dyDescent="0.25">
      <c r="A347" t="s">
        <v>81</v>
      </c>
      <c r="B347">
        <v>346</v>
      </c>
      <c r="C347">
        <v>69</v>
      </c>
      <c r="D347">
        <v>66</v>
      </c>
      <c r="E347">
        <v>68</v>
      </c>
      <c r="F347">
        <v>73</v>
      </c>
      <c r="G347">
        <v>190</v>
      </c>
      <c r="H347">
        <v>272</v>
      </c>
      <c r="I347" t="s">
        <v>862</v>
      </c>
      <c r="J347" t="s">
        <v>413</v>
      </c>
      <c r="L347" t="s">
        <v>863</v>
      </c>
      <c r="M347" t="s">
        <v>85</v>
      </c>
      <c r="O347" t="s">
        <v>14</v>
      </c>
      <c r="P347" t="s">
        <v>864</v>
      </c>
      <c r="Q347" t="s">
        <v>865</v>
      </c>
      <c r="R347">
        <v>2018</v>
      </c>
      <c r="S347" t="s">
        <v>866</v>
      </c>
      <c r="U347" t="s">
        <v>867</v>
      </c>
      <c r="V347" t="s">
        <v>868</v>
      </c>
      <c r="W347" t="s">
        <v>170</v>
      </c>
      <c r="X347" t="s">
        <v>171</v>
      </c>
      <c r="Y347" t="s">
        <v>329</v>
      </c>
      <c r="Z347" t="s">
        <v>877</v>
      </c>
      <c r="AA347" t="s">
        <v>878</v>
      </c>
      <c r="AB347" t="s">
        <v>879</v>
      </c>
      <c r="AC347" t="s">
        <v>880</v>
      </c>
      <c r="AD347" t="s">
        <v>98</v>
      </c>
      <c r="AE347" t="s">
        <v>177</v>
      </c>
      <c r="AF347" t="s">
        <v>100</v>
      </c>
      <c r="AG347" t="s">
        <v>102</v>
      </c>
      <c r="AH347" t="s">
        <v>102</v>
      </c>
      <c r="AI347" t="s">
        <v>134</v>
      </c>
      <c r="AJ347" t="s">
        <v>135</v>
      </c>
      <c r="AM347" t="s">
        <v>136</v>
      </c>
      <c r="AN347" t="s">
        <v>106</v>
      </c>
      <c r="AW347" t="s">
        <v>108</v>
      </c>
      <c r="AX347">
        <v>28</v>
      </c>
      <c r="AY347" t="s">
        <v>134</v>
      </c>
      <c r="AZ347" t="s">
        <v>109</v>
      </c>
      <c r="BA347" t="s">
        <v>180</v>
      </c>
      <c r="BB347">
        <v>28</v>
      </c>
      <c r="BC347">
        <v>33</v>
      </c>
      <c r="BE347" t="s">
        <v>139</v>
      </c>
      <c r="BF347">
        <v>3</v>
      </c>
      <c r="BG347">
        <v>0.25</v>
      </c>
      <c r="BL347">
        <v>65</v>
      </c>
      <c r="BP347">
        <v>12</v>
      </c>
      <c r="BU347" t="s">
        <v>873</v>
      </c>
      <c r="BV347">
        <v>48.505009999999999</v>
      </c>
      <c r="BW347">
        <v>0.76362629999999998</v>
      </c>
      <c r="BX347">
        <v>40</v>
      </c>
      <c r="BY347">
        <v>49.131810000000002</v>
      </c>
      <c r="BZ347">
        <v>0.76362629999999998</v>
      </c>
      <c r="CA347">
        <v>40</v>
      </c>
      <c r="CB347" t="s">
        <v>113</v>
      </c>
      <c r="CC347" t="s">
        <v>319</v>
      </c>
    </row>
    <row r="348" spans="1:81" x14ac:dyDescent="0.25">
      <c r="A348" t="s">
        <v>81</v>
      </c>
      <c r="B348">
        <v>347</v>
      </c>
      <c r="C348">
        <v>70</v>
      </c>
      <c r="D348">
        <v>66</v>
      </c>
      <c r="E348">
        <v>68</v>
      </c>
      <c r="F348">
        <v>73</v>
      </c>
      <c r="G348">
        <v>191</v>
      </c>
      <c r="H348">
        <v>273</v>
      </c>
      <c r="I348" t="s">
        <v>881</v>
      </c>
      <c r="J348" t="s">
        <v>882</v>
      </c>
      <c r="L348" t="s">
        <v>883</v>
      </c>
      <c r="M348" t="s">
        <v>85</v>
      </c>
      <c r="O348" t="s">
        <v>14</v>
      </c>
      <c r="P348" t="s">
        <v>884</v>
      </c>
      <c r="Q348" t="s">
        <v>885</v>
      </c>
      <c r="R348">
        <v>2017</v>
      </c>
      <c r="S348" t="s">
        <v>886</v>
      </c>
      <c r="U348" t="s">
        <v>887</v>
      </c>
      <c r="V348" t="s">
        <v>888</v>
      </c>
      <c r="W348" t="s">
        <v>170</v>
      </c>
      <c r="X348" t="s">
        <v>171</v>
      </c>
      <c r="Y348" t="s">
        <v>329</v>
      </c>
      <c r="Z348" t="s">
        <v>877</v>
      </c>
      <c r="AA348" t="s">
        <v>878</v>
      </c>
      <c r="AB348" t="s">
        <v>879</v>
      </c>
      <c r="AC348" t="s">
        <v>880</v>
      </c>
      <c r="AD348" t="s">
        <v>98</v>
      </c>
      <c r="AE348" t="s">
        <v>177</v>
      </c>
      <c r="AF348" t="s">
        <v>100</v>
      </c>
      <c r="AG348" t="s">
        <v>102</v>
      </c>
      <c r="AH348" t="s">
        <v>102</v>
      </c>
      <c r="AI348" t="s">
        <v>134</v>
      </c>
      <c r="AJ348" t="s">
        <v>135</v>
      </c>
      <c r="AM348" t="s">
        <v>136</v>
      </c>
      <c r="AN348" t="s">
        <v>106</v>
      </c>
      <c r="AW348" t="s">
        <v>108</v>
      </c>
      <c r="AX348">
        <v>28</v>
      </c>
      <c r="AY348" t="s">
        <v>134</v>
      </c>
      <c r="AZ348" t="s">
        <v>109</v>
      </c>
      <c r="BA348" t="s">
        <v>180</v>
      </c>
      <c r="BB348">
        <v>23</v>
      </c>
      <c r="BC348">
        <v>28</v>
      </c>
      <c r="BE348" t="s">
        <v>139</v>
      </c>
      <c r="BF348">
        <v>3</v>
      </c>
      <c r="BG348">
        <v>0.25</v>
      </c>
      <c r="BL348">
        <v>65</v>
      </c>
      <c r="BP348">
        <v>12</v>
      </c>
      <c r="BT348" t="s">
        <v>889</v>
      </c>
      <c r="BU348" t="s">
        <v>873</v>
      </c>
      <c r="BV348">
        <v>48.627119999999998</v>
      </c>
      <c r="BW348">
        <v>0.81714960000000003</v>
      </c>
      <c r="BX348">
        <v>50</v>
      </c>
      <c r="BY348">
        <v>48.502310000000001</v>
      </c>
      <c r="BZ348">
        <v>0.81714960000000003</v>
      </c>
      <c r="CA348">
        <v>50</v>
      </c>
      <c r="CB348" t="s">
        <v>113</v>
      </c>
      <c r="CC348" t="s">
        <v>890</v>
      </c>
    </row>
    <row r="349" spans="1:81" x14ac:dyDescent="0.25">
      <c r="A349" t="s">
        <v>81</v>
      </c>
      <c r="B349">
        <v>348</v>
      </c>
      <c r="C349">
        <v>70</v>
      </c>
      <c r="D349">
        <v>66</v>
      </c>
      <c r="E349">
        <v>68</v>
      </c>
      <c r="F349">
        <v>73</v>
      </c>
      <c r="G349">
        <v>191</v>
      </c>
      <c r="H349">
        <v>274</v>
      </c>
      <c r="I349" t="s">
        <v>881</v>
      </c>
      <c r="J349" t="s">
        <v>882</v>
      </c>
      <c r="L349" t="s">
        <v>883</v>
      </c>
      <c r="M349" t="s">
        <v>85</v>
      </c>
      <c r="O349" t="s">
        <v>14</v>
      </c>
      <c r="P349" t="s">
        <v>884</v>
      </c>
      <c r="Q349" t="s">
        <v>885</v>
      </c>
      <c r="R349">
        <v>2017</v>
      </c>
      <c r="S349" t="s">
        <v>886</v>
      </c>
      <c r="U349" t="s">
        <v>887</v>
      </c>
      <c r="V349" t="s">
        <v>888</v>
      </c>
      <c r="W349" t="s">
        <v>170</v>
      </c>
      <c r="X349" t="s">
        <v>171</v>
      </c>
      <c r="Y349" t="s">
        <v>329</v>
      </c>
      <c r="Z349" t="s">
        <v>877</v>
      </c>
      <c r="AA349" t="s">
        <v>878</v>
      </c>
      <c r="AB349" t="s">
        <v>879</v>
      </c>
      <c r="AC349" t="s">
        <v>880</v>
      </c>
      <c r="AD349" t="s">
        <v>98</v>
      </c>
      <c r="AE349" t="s">
        <v>177</v>
      </c>
      <c r="AF349" t="s">
        <v>100</v>
      </c>
      <c r="AG349" t="s">
        <v>102</v>
      </c>
      <c r="AH349" t="s">
        <v>102</v>
      </c>
      <c r="AI349" t="s">
        <v>134</v>
      </c>
      <c r="AJ349" t="s">
        <v>135</v>
      </c>
      <c r="AM349" t="s">
        <v>136</v>
      </c>
      <c r="AN349" t="s">
        <v>106</v>
      </c>
      <c r="AW349" t="s">
        <v>108</v>
      </c>
      <c r="AX349">
        <v>28</v>
      </c>
      <c r="AY349" t="s">
        <v>134</v>
      </c>
      <c r="AZ349" t="s">
        <v>109</v>
      </c>
      <c r="BA349" t="s">
        <v>180</v>
      </c>
      <c r="BB349">
        <v>28</v>
      </c>
      <c r="BC349">
        <v>33</v>
      </c>
      <c r="BE349" t="s">
        <v>139</v>
      </c>
      <c r="BF349">
        <v>3</v>
      </c>
      <c r="BG349">
        <v>0.25</v>
      </c>
      <c r="BL349">
        <v>65</v>
      </c>
      <c r="BP349">
        <v>12</v>
      </c>
      <c r="BT349" t="s">
        <v>889</v>
      </c>
      <c r="BU349" t="s">
        <v>873</v>
      </c>
      <c r="BV349">
        <v>48.502310000000001</v>
      </c>
      <c r="BW349">
        <v>0.81714960000000003</v>
      </c>
      <c r="BX349">
        <v>50</v>
      </c>
      <c r="BY349">
        <v>49.126350000000002</v>
      </c>
      <c r="BZ349">
        <v>0.83382610000000001</v>
      </c>
      <c r="CA349">
        <v>50</v>
      </c>
      <c r="CB349" t="s">
        <v>113</v>
      </c>
      <c r="CC349" t="s">
        <v>890</v>
      </c>
    </row>
    <row r="350" spans="1:81" x14ac:dyDescent="0.25">
      <c r="A350" t="s">
        <v>81</v>
      </c>
      <c r="B350">
        <v>349</v>
      </c>
      <c r="C350">
        <v>73</v>
      </c>
      <c r="D350">
        <v>10</v>
      </c>
      <c r="E350">
        <v>69</v>
      </c>
      <c r="F350">
        <v>74</v>
      </c>
      <c r="G350">
        <v>192</v>
      </c>
      <c r="H350">
        <v>275</v>
      </c>
      <c r="I350" t="s">
        <v>322</v>
      </c>
      <c r="J350" t="s">
        <v>338</v>
      </c>
      <c r="L350" t="s">
        <v>891</v>
      </c>
      <c r="M350" t="s">
        <v>85</v>
      </c>
      <c r="O350" t="s">
        <v>14</v>
      </c>
      <c r="P350" t="s">
        <v>892</v>
      </c>
      <c r="Q350" t="s">
        <v>893</v>
      </c>
      <c r="R350">
        <v>2005</v>
      </c>
      <c r="S350" t="s">
        <v>894</v>
      </c>
      <c r="U350" t="s">
        <v>895</v>
      </c>
      <c r="V350" t="s">
        <v>896</v>
      </c>
      <c r="W350" t="s">
        <v>91</v>
      </c>
      <c r="X350" t="s">
        <v>126</v>
      </c>
      <c r="Y350" t="s">
        <v>190</v>
      </c>
      <c r="Z350" t="s">
        <v>191</v>
      </c>
      <c r="AA350" t="s">
        <v>192</v>
      </c>
      <c r="AB350" t="s">
        <v>227</v>
      </c>
      <c r="AC350" t="s">
        <v>228</v>
      </c>
      <c r="AD350" t="s">
        <v>132</v>
      </c>
      <c r="AE350" t="s">
        <v>133</v>
      </c>
      <c r="AF350" t="s">
        <v>100</v>
      </c>
      <c r="AG350" t="s">
        <v>102</v>
      </c>
      <c r="AH350" t="s">
        <v>102</v>
      </c>
      <c r="AI350" t="s">
        <v>134</v>
      </c>
      <c r="AJ350" t="s">
        <v>135</v>
      </c>
      <c r="AM350" t="s">
        <v>136</v>
      </c>
      <c r="AN350" t="s">
        <v>242</v>
      </c>
      <c r="AU350">
        <f>(5.1+4.7)/2</f>
        <v>4.9000000000000004</v>
      </c>
      <c r="AW350" t="s">
        <v>108</v>
      </c>
      <c r="AZ350" t="s">
        <v>109</v>
      </c>
      <c r="BA350" t="s">
        <v>138</v>
      </c>
      <c r="BB350">
        <v>11</v>
      </c>
      <c r="BC350">
        <v>15</v>
      </c>
      <c r="BE350" t="s">
        <v>139</v>
      </c>
      <c r="BF350">
        <v>30</v>
      </c>
      <c r="BG350">
        <v>0.3</v>
      </c>
      <c r="BU350" t="s">
        <v>897</v>
      </c>
      <c r="BV350">
        <v>27.5</v>
      </c>
      <c r="BW350">
        <v>0.50109930000000003</v>
      </c>
      <c r="BX350">
        <v>8</v>
      </c>
      <c r="BY350">
        <v>28.40551</v>
      </c>
      <c r="BZ350">
        <v>1.0039370000000001</v>
      </c>
      <c r="CA350">
        <v>9</v>
      </c>
      <c r="CB350" t="s">
        <v>113</v>
      </c>
      <c r="CC350" t="s">
        <v>451</v>
      </c>
    </row>
    <row r="351" spans="1:81" x14ac:dyDescent="0.25">
      <c r="A351" t="s">
        <v>81</v>
      </c>
      <c r="B351">
        <v>350</v>
      </c>
      <c r="C351">
        <v>73</v>
      </c>
      <c r="D351">
        <v>10</v>
      </c>
      <c r="E351">
        <v>69</v>
      </c>
      <c r="F351">
        <v>74</v>
      </c>
      <c r="G351">
        <v>192</v>
      </c>
      <c r="H351">
        <v>276</v>
      </c>
      <c r="I351" t="s">
        <v>322</v>
      </c>
      <c r="J351" t="s">
        <v>338</v>
      </c>
      <c r="L351" t="s">
        <v>891</v>
      </c>
      <c r="M351" t="s">
        <v>85</v>
      </c>
      <c r="O351" t="s">
        <v>14</v>
      </c>
      <c r="P351" t="s">
        <v>892</v>
      </c>
      <c r="Q351" t="s">
        <v>893</v>
      </c>
      <c r="R351">
        <v>2005</v>
      </c>
      <c r="S351" t="s">
        <v>894</v>
      </c>
      <c r="U351" t="s">
        <v>895</v>
      </c>
      <c r="V351" t="s">
        <v>896</v>
      </c>
      <c r="W351" t="s">
        <v>91</v>
      </c>
      <c r="X351" t="s">
        <v>126</v>
      </c>
      <c r="Y351" t="s">
        <v>190</v>
      </c>
      <c r="Z351" t="s">
        <v>191</v>
      </c>
      <c r="AA351" t="s">
        <v>192</v>
      </c>
      <c r="AB351" t="s">
        <v>227</v>
      </c>
      <c r="AC351" t="s">
        <v>228</v>
      </c>
      <c r="AD351" t="s">
        <v>132</v>
      </c>
      <c r="AE351" t="s">
        <v>133</v>
      </c>
      <c r="AF351" t="s">
        <v>100</v>
      </c>
      <c r="AG351" t="s">
        <v>102</v>
      </c>
      <c r="AH351" t="s">
        <v>102</v>
      </c>
      <c r="AI351" t="s">
        <v>134</v>
      </c>
      <c r="AJ351" t="s">
        <v>135</v>
      </c>
      <c r="AM351" t="s">
        <v>136</v>
      </c>
      <c r="AN351" t="s">
        <v>242</v>
      </c>
      <c r="AU351">
        <f>(4.7+7.6)/2</f>
        <v>6.15</v>
      </c>
      <c r="AW351" t="s">
        <v>108</v>
      </c>
      <c r="AZ351" t="s">
        <v>109</v>
      </c>
      <c r="BA351" t="s">
        <v>138</v>
      </c>
      <c r="BB351">
        <v>15</v>
      </c>
      <c r="BC351">
        <v>19</v>
      </c>
      <c r="BE351" t="s">
        <v>139</v>
      </c>
      <c r="BF351">
        <v>30</v>
      </c>
      <c r="BG351">
        <v>0.3</v>
      </c>
      <c r="BU351" t="s">
        <v>897</v>
      </c>
      <c r="BV351">
        <v>28.40551</v>
      </c>
      <c r="BW351">
        <v>1.0039370000000001</v>
      </c>
      <c r="BX351">
        <v>9</v>
      </c>
      <c r="BY351">
        <v>29.606300000000001</v>
      </c>
      <c r="BZ351">
        <v>1.0582425</v>
      </c>
      <c r="CA351">
        <v>10</v>
      </c>
      <c r="CB351" t="s">
        <v>113</v>
      </c>
      <c r="CC351" t="s">
        <v>451</v>
      </c>
    </row>
    <row r="352" spans="1:81" x14ac:dyDescent="0.25">
      <c r="A352" t="s">
        <v>81</v>
      </c>
      <c r="B352">
        <v>351</v>
      </c>
      <c r="C352">
        <v>75</v>
      </c>
      <c r="D352">
        <v>68</v>
      </c>
      <c r="E352">
        <v>70</v>
      </c>
      <c r="F352">
        <v>75</v>
      </c>
      <c r="G352">
        <v>193</v>
      </c>
      <c r="H352">
        <v>277</v>
      </c>
      <c r="I352" t="s">
        <v>118</v>
      </c>
      <c r="J352" t="s">
        <v>184</v>
      </c>
      <c r="L352" t="s">
        <v>898</v>
      </c>
      <c r="M352" t="s">
        <v>85</v>
      </c>
      <c r="O352" t="s">
        <v>14</v>
      </c>
      <c r="P352" t="s">
        <v>899</v>
      </c>
      <c r="Q352" t="s">
        <v>900</v>
      </c>
      <c r="R352">
        <v>1989</v>
      </c>
      <c r="S352" t="s">
        <v>901</v>
      </c>
      <c r="U352" t="s">
        <v>902</v>
      </c>
      <c r="V352" t="s">
        <v>903</v>
      </c>
      <c r="W352" t="s">
        <v>91</v>
      </c>
      <c r="X352" t="s">
        <v>126</v>
      </c>
      <c r="Y352" t="s">
        <v>127</v>
      </c>
      <c r="Z352" t="s">
        <v>128</v>
      </c>
      <c r="AA352" t="s">
        <v>904</v>
      </c>
      <c r="AB352" t="s">
        <v>905</v>
      </c>
      <c r="AC352" t="s">
        <v>906</v>
      </c>
      <c r="AD352" t="s">
        <v>132</v>
      </c>
      <c r="AE352" t="s">
        <v>133</v>
      </c>
      <c r="AF352" t="s">
        <v>100</v>
      </c>
      <c r="AG352" t="s">
        <v>102</v>
      </c>
      <c r="AH352" t="s">
        <v>102</v>
      </c>
      <c r="AI352" t="s">
        <v>134</v>
      </c>
      <c r="AJ352" t="s">
        <v>135</v>
      </c>
      <c r="AM352" t="s">
        <v>136</v>
      </c>
      <c r="AN352" t="s">
        <v>106</v>
      </c>
      <c r="AW352" t="s">
        <v>108</v>
      </c>
      <c r="AZ352" t="s">
        <v>109</v>
      </c>
      <c r="BA352" t="s">
        <v>142</v>
      </c>
      <c r="BB352">
        <v>20</v>
      </c>
      <c r="BC352">
        <v>25</v>
      </c>
      <c r="BD352">
        <v>1</v>
      </c>
      <c r="BE352" t="s">
        <v>111</v>
      </c>
      <c r="BG352">
        <v>0.1</v>
      </c>
      <c r="BS352" t="s">
        <v>907</v>
      </c>
      <c r="BU352" t="s">
        <v>908</v>
      </c>
      <c r="BV352">
        <v>37.371130000000001</v>
      </c>
      <c r="BW352">
        <v>1.4979526999999999</v>
      </c>
      <c r="BX352">
        <v>4</v>
      </c>
      <c r="BY352">
        <v>40.212629999999997</v>
      </c>
      <c r="BZ352">
        <v>1.1509543</v>
      </c>
      <c r="CA352">
        <v>4</v>
      </c>
      <c r="CB352" t="s">
        <v>113</v>
      </c>
      <c r="CC352" t="s">
        <v>451</v>
      </c>
    </row>
    <row r="353" spans="1:81" x14ac:dyDescent="0.25">
      <c r="A353" t="s">
        <v>81</v>
      </c>
      <c r="B353">
        <v>352</v>
      </c>
      <c r="C353">
        <v>75</v>
      </c>
      <c r="D353">
        <v>68</v>
      </c>
      <c r="E353">
        <v>70</v>
      </c>
      <c r="F353">
        <v>75</v>
      </c>
      <c r="G353">
        <v>193</v>
      </c>
      <c r="H353">
        <v>278</v>
      </c>
      <c r="I353" t="s">
        <v>118</v>
      </c>
      <c r="J353" t="s">
        <v>184</v>
      </c>
      <c r="L353" t="s">
        <v>898</v>
      </c>
      <c r="M353" t="s">
        <v>85</v>
      </c>
      <c r="O353" t="s">
        <v>14</v>
      </c>
      <c r="P353" t="s">
        <v>899</v>
      </c>
      <c r="Q353" t="s">
        <v>900</v>
      </c>
      <c r="R353">
        <v>1989</v>
      </c>
      <c r="S353" t="s">
        <v>901</v>
      </c>
      <c r="U353" t="s">
        <v>902</v>
      </c>
      <c r="V353" t="s">
        <v>903</v>
      </c>
      <c r="W353" t="s">
        <v>91</v>
      </c>
      <c r="X353" t="s">
        <v>126</v>
      </c>
      <c r="Y353" t="s">
        <v>127</v>
      </c>
      <c r="Z353" t="s">
        <v>128</v>
      </c>
      <c r="AA353" t="s">
        <v>904</v>
      </c>
      <c r="AB353" t="s">
        <v>905</v>
      </c>
      <c r="AC353" t="s">
        <v>906</v>
      </c>
      <c r="AD353" t="s">
        <v>132</v>
      </c>
      <c r="AE353" t="s">
        <v>133</v>
      </c>
      <c r="AF353" t="s">
        <v>100</v>
      </c>
      <c r="AG353" t="s">
        <v>102</v>
      </c>
      <c r="AH353" t="s">
        <v>102</v>
      </c>
      <c r="AI353" t="s">
        <v>134</v>
      </c>
      <c r="AJ353" t="s">
        <v>135</v>
      </c>
      <c r="AM353" t="s">
        <v>136</v>
      </c>
      <c r="AN353" t="s">
        <v>106</v>
      </c>
      <c r="AW353" t="s">
        <v>108</v>
      </c>
      <c r="AZ353" t="s">
        <v>109</v>
      </c>
      <c r="BA353" t="s">
        <v>142</v>
      </c>
      <c r="BB353">
        <v>25</v>
      </c>
      <c r="BC353">
        <v>31</v>
      </c>
      <c r="BD353">
        <v>1</v>
      </c>
      <c r="BE353" t="s">
        <v>111</v>
      </c>
      <c r="BG353">
        <v>0.1</v>
      </c>
      <c r="BS353" t="s">
        <v>907</v>
      </c>
      <c r="BU353" t="s">
        <v>908</v>
      </c>
      <c r="BV353">
        <v>40.212629999999997</v>
      </c>
      <c r="BW353">
        <v>1.1509543</v>
      </c>
      <c r="BX353">
        <v>4</v>
      </c>
      <c r="BY353">
        <v>41.353090000000002</v>
      </c>
      <c r="BZ353">
        <v>1.1481372999999999</v>
      </c>
      <c r="CA353">
        <v>2</v>
      </c>
      <c r="CB353" t="s">
        <v>113</v>
      </c>
      <c r="CC353" t="s">
        <v>451</v>
      </c>
    </row>
    <row r="354" spans="1:81" x14ac:dyDescent="0.25">
      <c r="A354" t="s">
        <v>81</v>
      </c>
      <c r="B354">
        <v>353</v>
      </c>
      <c r="C354">
        <v>75</v>
      </c>
      <c r="D354">
        <v>68</v>
      </c>
      <c r="E354">
        <v>70</v>
      </c>
      <c r="F354">
        <v>75</v>
      </c>
      <c r="G354">
        <v>193</v>
      </c>
      <c r="H354">
        <v>279</v>
      </c>
      <c r="I354" t="s">
        <v>118</v>
      </c>
      <c r="J354" t="s">
        <v>184</v>
      </c>
      <c r="L354" t="s">
        <v>898</v>
      </c>
      <c r="M354" t="s">
        <v>85</v>
      </c>
      <c r="O354" t="s">
        <v>14</v>
      </c>
      <c r="P354" t="s">
        <v>899</v>
      </c>
      <c r="Q354" t="s">
        <v>900</v>
      </c>
      <c r="R354">
        <v>1989</v>
      </c>
      <c r="S354" t="s">
        <v>901</v>
      </c>
      <c r="U354" t="s">
        <v>902</v>
      </c>
      <c r="V354" t="s">
        <v>903</v>
      </c>
      <c r="W354" t="s">
        <v>91</v>
      </c>
      <c r="X354" t="s">
        <v>126</v>
      </c>
      <c r="Y354" t="s">
        <v>127</v>
      </c>
      <c r="Z354" t="s">
        <v>128</v>
      </c>
      <c r="AA354" t="s">
        <v>904</v>
      </c>
      <c r="AB354" t="s">
        <v>905</v>
      </c>
      <c r="AC354" t="s">
        <v>906</v>
      </c>
      <c r="AD354" t="s">
        <v>132</v>
      </c>
      <c r="AE354" t="s">
        <v>133</v>
      </c>
      <c r="AF354" t="s">
        <v>100</v>
      </c>
      <c r="AG354" t="s">
        <v>102</v>
      </c>
      <c r="AH354" t="s">
        <v>102</v>
      </c>
      <c r="AI354" t="s">
        <v>134</v>
      </c>
      <c r="AJ354" t="s">
        <v>135</v>
      </c>
      <c r="AM354" t="s">
        <v>136</v>
      </c>
      <c r="AN354" t="s">
        <v>106</v>
      </c>
      <c r="AW354" t="s">
        <v>108</v>
      </c>
      <c r="AZ354" t="s">
        <v>109</v>
      </c>
      <c r="BA354" t="s">
        <v>142</v>
      </c>
      <c r="BB354">
        <v>31</v>
      </c>
      <c r="BC354">
        <v>37</v>
      </c>
      <c r="BD354">
        <v>1</v>
      </c>
      <c r="BE354" t="s">
        <v>111</v>
      </c>
      <c r="BG354">
        <v>0.1</v>
      </c>
      <c r="BS354" t="s">
        <v>907</v>
      </c>
      <c r="BU354" t="s">
        <v>908</v>
      </c>
      <c r="BV354">
        <v>41.353090000000002</v>
      </c>
      <c r="BW354">
        <v>1.1481372999999999</v>
      </c>
      <c r="BX354">
        <v>2</v>
      </c>
      <c r="BY354">
        <v>43.015459999999997</v>
      </c>
      <c r="BZ354">
        <v>1.0934641</v>
      </c>
      <c r="CA354">
        <v>2</v>
      </c>
      <c r="CB354" t="s">
        <v>113</v>
      </c>
      <c r="CC354" t="s">
        <v>451</v>
      </c>
    </row>
    <row r="355" spans="1:81" x14ac:dyDescent="0.25">
      <c r="A355" t="s">
        <v>81</v>
      </c>
      <c r="B355">
        <v>354</v>
      </c>
      <c r="C355">
        <v>77</v>
      </c>
      <c r="D355">
        <v>70</v>
      </c>
      <c r="E355">
        <v>71</v>
      </c>
      <c r="F355">
        <v>76</v>
      </c>
      <c r="G355">
        <v>194</v>
      </c>
      <c r="H355">
        <v>280</v>
      </c>
      <c r="I355" t="s">
        <v>322</v>
      </c>
      <c r="J355" t="s">
        <v>83</v>
      </c>
      <c r="K355" s="3" t="s">
        <v>909</v>
      </c>
      <c r="M355" t="s">
        <v>85</v>
      </c>
      <c r="N355" t="s">
        <v>910</v>
      </c>
      <c r="O355" t="s">
        <v>14</v>
      </c>
      <c r="P355" t="s">
        <v>910</v>
      </c>
      <c r="Q355" t="s">
        <v>911</v>
      </c>
      <c r="R355">
        <v>2018</v>
      </c>
      <c r="S355" t="s">
        <v>912</v>
      </c>
      <c r="U355" t="s">
        <v>913</v>
      </c>
      <c r="V355" t="s">
        <v>914</v>
      </c>
      <c r="W355" t="s">
        <v>91</v>
      </c>
      <c r="X355" t="s">
        <v>508</v>
      </c>
      <c r="Y355" t="s">
        <v>509</v>
      </c>
      <c r="Z355" t="s">
        <v>915</v>
      </c>
      <c r="AA355" t="s">
        <v>916</v>
      </c>
      <c r="AB355" t="s">
        <v>917</v>
      </c>
      <c r="AC355" t="s">
        <v>918</v>
      </c>
      <c r="AD355" t="s">
        <v>132</v>
      </c>
      <c r="AE355" t="s">
        <v>514</v>
      </c>
      <c r="AF355" t="s">
        <v>100</v>
      </c>
      <c r="AG355" t="s">
        <v>102</v>
      </c>
      <c r="AH355" t="s">
        <v>102</v>
      </c>
      <c r="AI355" t="s">
        <v>134</v>
      </c>
      <c r="AJ355" t="s">
        <v>135</v>
      </c>
      <c r="AM355" t="s">
        <v>136</v>
      </c>
      <c r="AN355" t="s">
        <v>106</v>
      </c>
      <c r="AO355">
        <v>9.11</v>
      </c>
      <c r="AP355">
        <v>-79.69</v>
      </c>
      <c r="AQ355">
        <v>30</v>
      </c>
      <c r="AT355">
        <f>(15.04286+18.29677)/2</f>
        <v>16.669815</v>
      </c>
      <c r="AU355">
        <f>(0.03689286+0.07496774)/2</f>
        <v>5.5930300000000002E-2</v>
      </c>
      <c r="AW355" t="s">
        <v>108</v>
      </c>
      <c r="AX355">
        <v>26</v>
      </c>
      <c r="AY355" t="s">
        <v>103</v>
      </c>
      <c r="AZ355" t="s">
        <v>109</v>
      </c>
      <c r="BA355" t="s">
        <v>110</v>
      </c>
      <c r="BB355">
        <v>21</v>
      </c>
      <c r="BC355">
        <v>28</v>
      </c>
      <c r="BE355" t="s">
        <v>139</v>
      </c>
      <c r="BF355">
        <f>(8.5+8.677419)/2</f>
        <v>8.5887095000000002</v>
      </c>
      <c r="BG355">
        <v>1</v>
      </c>
      <c r="BU355" t="s">
        <v>919</v>
      </c>
      <c r="BV355">
        <v>41.482140000000001</v>
      </c>
      <c r="BW355">
        <v>1.1563203360000001</v>
      </c>
      <c r="BX355">
        <v>28</v>
      </c>
      <c r="BY355">
        <v>42.141939999999998</v>
      </c>
      <c r="BZ355">
        <v>1.6266067</v>
      </c>
      <c r="CA355">
        <v>31</v>
      </c>
      <c r="CB355" t="s">
        <v>113</v>
      </c>
      <c r="CC355" t="s">
        <v>920</v>
      </c>
    </row>
    <row r="356" spans="1:81" x14ac:dyDescent="0.25">
      <c r="A356" t="s">
        <v>81</v>
      </c>
      <c r="B356">
        <v>355</v>
      </c>
      <c r="C356">
        <v>77</v>
      </c>
      <c r="D356">
        <v>70</v>
      </c>
      <c r="E356">
        <v>71</v>
      </c>
      <c r="F356">
        <v>76</v>
      </c>
      <c r="G356">
        <v>194</v>
      </c>
      <c r="H356">
        <v>281</v>
      </c>
      <c r="I356" t="s">
        <v>322</v>
      </c>
      <c r="J356" t="s">
        <v>83</v>
      </c>
      <c r="K356" s="3" t="s">
        <v>909</v>
      </c>
      <c r="M356" t="s">
        <v>85</v>
      </c>
      <c r="N356" t="s">
        <v>910</v>
      </c>
      <c r="O356" t="s">
        <v>14</v>
      </c>
      <c r="P356" t="s">
        <v>910</v>
      </c>
      <c r="Q356" t="s">
        <v>911</v>
      </c>
      <c r="R356">
        <v>2018</v>
      </c>
      <c r="S356" t="s">
        <v>912</v>
      </c>
      <c r="U356" t="s">
        <v>913</v>
      </c>
      <c r="V356" t="s">
        <v>914</v>
      </c>
      <c r="W356" t="s">
        <v>91</v>
      </c>
      <c r="X356" t="s">
        <v>508</v>
      </c>
      <c r="Y356" t="s">
        <v>509</v>
      </c>
      <c r="Z356" t="s">
        <v>915</v>
      </c>
      <c r="AA356" t="s">
        <v>916</v>
      </c>
      <c r="AB356" t="s">
        <v>917</v>
      </c>
      <c r="AC356" t="s">
        <v>918</v>
      </c>
      <c r="AD356" t="s">
        <v>132</v>
      </c>
      <c r="AE356" t="s">
        <v>514</v>
      </c>
      <c r="AF356" t="s">
        <v>100</v>
      </c>
      <c r="AG356" t="s">
        <v>102</v>
      </c>
      <c r="AH356" t="s">
        <v>102</v>
      </c>
      <c r="AI356" t="s">
        <v>134</v>
      </c>
      <c r="AJ356" t="s">
        <v>135</v>
      </c>
      <c r="AM356" t="s">
        <v>136</v>
      </c>
      <c r="AN356" t="s">
        <v>106</v>
      </c>
      <c r="AO356">
        <v>9.11</v>
      </c>
      <c r="AP356">
        <v>-79.69</v>
      </c>
      <c r="AQ356">
        <v>30</v>
      </c>
      <c r="AT356">
        <f>(18.29677+20.14615)/2</f>
        <v>19.22146</v>
      </c>
      <c r="AU356">
        <f>(0.07496774+0.07453846)/2</f>
        <v>7.4753100000000003E-2</v>
      </c>
      <c r="AW356" t="s">
        <v>108</v>
      </c>
      <c r="AX356">
        <v>26</v>
      </c>
      <c r="AY356" t="s">
        <v>103</v>
      </c>
      <c r="AZ356" t="s">
        <v>109</v>
      </c>
      <c r="BA356" t="s">
        <v>110</v>
      </c>
      <c r="BB356">
        <v>28</v>
      </c>
      <c r="BC356">
        <v>31</v>
      </c>
      <c r="BE356" t="s">
        <v>139</v>
      </c>
      <c r="BF356">
        <f>(8.677419+9.153846)/2</f>
        <v>8.915632500000001</v>
      </c>
      <c r="BG356">
        <v>1</v>
      </c>
      <c r="BU356" t="s">
        <v>919</v>
      </c>
      <c r="BV356">
        <v>42.141939999999998</v>
      </c>
      <c r="BW356">
        <v>1.6266067</v>
      </c>
      <c r="BX356">
        <v>31</v>
      </c>
      <c r="BY356">
        <v>42.561540000000001</v>
      </c>
      <c r="BZ356">
        <v>1.325102802</v>
      </c>
      <c r="CA356">
        <v>13</v>
      </c>
      <c r="CB356" t="s">
        <v>113</v>
      </c>
      <c r="CC356" t="s">
        <v>920</v>
      </c>
    </row>
    <row r="357" spans="1:81" x14ac:dyDescent="0.25">
      <c r="A357" t="s">
        <v>81</v>
      </c>
      <c r="B357">
        <v>356</v>
      </c>
      <c r="C357">
        <v>77</v>
      </c>
      <c r="D357">
        <v>70</v>
      </c>
      <c r="E357">
        <v>71</v>
      </c>
      <c r="F357">
        <v>76</v>
      </c>
      <c r="G357">
        <v>194</v>
      </c>
      <c r="H357">
        <v>282</v>
      </c>
      <c r="I357" t="s">
        <v>322</v>
      </c>
      <c r="J357" t="s">
        <v>83</v>
      </c>
      <c r="K357" s="3" t="s">
        <v>909</v>
      </c>
      <c r="M357" t="s">
        <v>85</v>
      </c>
      <c r="N357" t="s">
        <v>910</v>
      </c>
      <c r="O357" t="s">
        <v>14</v>
      </c>
      <c r="P357" t="s">
        <v>910</v>
      </c>
      <c r="Q357" t="s">
        <v>911</v>
      </c>
      <c r="R357">
        <v>2018</v>
      </c>
      <c r="S357" t="s">
        <v>912</v>
      </c>
      <c r="U357" t="s">
        <v>913</v>
      </c>
      <c r="V357" t="s">
        <v>914</v>
      </c>
      <c r="W357" t="s">
        <v>91</v>
      </c>
      <c r="X357" t="s">
        <v>508</v>
      </c>
      <c r="Y357" t="s">
        <v>509</v>
      </c>
      <c r="Z357" t="s">
        <v>915</v>
      </c>
      <c r="AA357" t="s">
        <v>916</v>
      </c>
      <c r="AB357" t="s">
        <v>917</v>
      </c>
      <c r="AC357" t="s">
        <v>918</v>
      </c>
      <c r="AD357" t="s">
        <v>132</v>
      </c>
      <c r="AE357" t="s">
        <v>514</v>
      </c>
      <c r="AF357" t="s">
        <v>100</v>
      </c>
      <c r="AG357" t="s">
        <v>102</v>
      </c>
      <c r="AH357" t="s">
        <v>102</v>
      </c>
      <c r="AI357" t="s">
        <v>134</v>
      </c>
      <c r="AJ357" t="s">
        <v>135</v>
      </c>
      <c r="AM357" t="s">
        <v>136</v>
      </c>
      <c r="AN357" t="s">
        <v>106</v>
      </c>
      <c r="AO357">
        <v>9.11</v>
      </c>
      <c r="AP357">
        <v>-79.69</v>
      </c>
      <c r="AQ357">
        <v>30</v>
      </c>
      <c r="AT357">
        <f>(20.14615+17.13333)/2</f>
        <v>18.63974</v>
      </c>
      <c r="AU357">
        <f>(0.07453846+0.05725)/2</f>
        <v>6.5894229999999998E-2</v>
      </c>
      <c r="AW357" t="s">
        <v>108</v>
      </c>
      <c r="AX357">
        <v>26</v>
      </c>
      <c r="AY357" t="s">
        <v>103</v>
      </c>
      <c r="AZ357" t="s">
        <v>109</v>
      </c>
      <c r="BA357" t="s">
        <v>110</v>
      </c>
      <c r="BB357">
        <v>31</v>
      </c>
      <c r="BC357">
        <v>33</v>
      </c>
      <c r="BE357" t="s">
        <v>139</v>
      </c>
      <c r="BF357">
        <f>(9.153846+7.833333)/2</f>
        <v>8.4935894999999988</v>
      </c>
      <c r="BG357">
        <v>1</v>
      </c>
      <c r="BU357" t="s">
        <v>919</v>
      </c>
      <c r="BV357">
        <v>42.561540000000001</v>
      </c>
      <c r="BW357">
        <v>1.325102802</v>
      </c>
      <c r="BX357">
        <v>13</v>
      </c>
      <c r="BY357">
        <v>43.483330000000002</v>
      </c>
      <c r="BZ357">
        <v>0.61619556099999995</v>
      </c>
      <c r="CA357">
        <v>12</v>
      </c>
      <c r="CB357" t="s">
        <v>113</v>
      </c>
      <c r="CC357" t="s">
        <v>920</v>
      </c>
    </row>
    <row r="358" spans="1:81" x14ac:dyDescent="0.25">
      <c r="A358" t="s">
        <v>81</v>
      </c>
      <c r="B358">
        <v>357</v>
      </c>
      <c r="C358">
        <v>78</v>
      </c>
      <c r="D358">
        <v>71</v>
      </c>
      <c r="E358">
        <v>72</v>
      </c>
      <c r="F358">
        <v>77</v>
      </c>
      <c r="G358">
        <v>195</v>
      </c>
      <c r="H358">
        <v>283</v>
      </c>
      <c r="I358" t="s">
        <v>921</v>
      </c>
      <c r="J358" t="s">
        <v>119</v>
      </c>
      <c r="L358" t="s">
        <v>922</v>
      </c>
      <c r="M358" t="s">
        <v>85</v>
      </c>
      <c r="O358" t="s">
        <v>14</v>
      </c>
      <c r="P358" t="s">
        <v>923</v>
      </c>
      <c r="Q358" t="s">
        <v>924</v>
      </c>
      <c r="R358">
        <v>2014</v>
      </c>
      <c r="S358" t="s">
        <v>505</v>
      </c>
      <c r="U358" t="s">
        <v>925</v>
      </c>
      <c r="V358" t="s">
        <v>926</v>
      </c>
      <c r="W358" t="s">
        <v>91</v>
      </c>
      <c r="X358" t="s">
        <v>126</v>
      </c>
      <c r="Y358" t="s">
        <v>127</v>
      </c>
      <c r="Z358" t="s">
        <v>128</v>
      </c>
      <c r="AA358" t="s">
        <v>927</v>
      </c>
      <c r="AB358" t="s">
        <v>928</v>
      </c>
      <c r="AC358" t="s">
        <v>929</v>
      </c>
      <c r="AD358" t="s">
        <v>132</v>
      </c>
      <c r="AE358" t="s">
        <v>133</v>
      </c>
      <c r="AF358" t="s">
        <v>100</v>
      </c>
      <c r="AG358" t="s">
        <v>102</v>
      </c>
      <c r="AH358" t="s">
        <v>102</v>
      </c>
      <c r="AI358" t="s">
        <v>134</v>
      </c>
      <c r="AJ358" t="s">
        <v>135</v>
      </c>
      <c r="AM358" t="s">
        <v>136</v>
      </c>
      <c r="AN358" t="s">
        <v>242</v>
      </c>
      <c r="AT358">
        <f>((6.95+6.83)/2)/10</f>
        <v>0.68900000000000006</v>
      </c>
      <c r="AU358">
        <f>(5.79+5.7)/2</f>
        <v>5.7450000000000001</v>
      </c>
      <c r="AW358" t="s">
        <v>108</v>
      </c>
      <c r="AX358">
        <v>20</v>
      </c>
      <c r="AY358" t="s">
        <v>134</v>
      </c>
      <c r="AZ358" t="s">
        <v>109</v>
      </c>
      <c r="BA358" t="s">
        <v>138</v>
      </c>
      <c r="BB358">
        <v>15</v>
      </c>
      <c r="BC358">
        <v>20</v>
      </c>
      <c r="BE358" t="s">
        <v>139</v>
      </c>
      <c r="BF358">
        <v>30</v>
      </c>
      <c r="BG358">
        <v>0.3</v>
      </c>
      <c r="BO358">
        <f>(6.8+7.3)/2</f>
        <v>7.05</v>
      </c>
      <c r="BR358" t="s">
        <v>69</v>
      </c>
      <c r="BU358" t="s">
        <v>930</v>
      </c>
      <c r="BV358">
        <v>31.106950000000001</v>
      </c>
      <c r="BW358">
        <v>0.84701559999999998</v>
      </c>
      <c r="BX358">
        <v>8</v>
      </c>
      <c r="BY358">
        <v>33.652410000000003</v>
      </c>
      <c r="BZ358">
        <v>0.63526170000000004</v>
      </c>
      <c r="CA358">
        <v>8</v>
      </c>
      <c r="CB358" t="s">
        <v>113</v>
      </c>
      <c r="CC358" t="s">
        <v>319</v>
      </c>
    </row>
    <row r="359" spans="1:81" x14ac:dyDescent="0.25">
      <c r="A359" t="s">
        <v>81</v>
      </c>
      <c r="B359">
        <v>358</v>
      </c>
      <c r="C359">
        <v>78</v>
      </c>
      <c r="D359">
        <v>71</v>
      </c>
      <c r="E359">
        <v>72</v>
      </c>
      <c r="F359">
        <v>77</v>
      </c>
      <c r="G359">
        <v>195</v>
      </c>
      <c r="H359">
        <v>284</v>
      </c>
      <c r="I359" t="s">
        <v>921</v>
      </c>
      <c r="J359" t="s">
        <v>119</v>
      </c>
      <c r="L359" t="s">
        <v>922</v>
      </c>
      <c r="M359" t="s">
        <v>85</v>
      </c>
      <c r="O359" t="s">
        <v>14</v>
      </c>
      <c r="P359" t="s">
        <v>923</v>
      </c>
      <c r="Q359" t="s">
        <v>924</v>
      </c>
      <c r="R359">
        <v>2014</v>
      </c>
      <c r="S359" t="s">
        <v>505</v>
      </c>
      <c r="U359" t="s">
        <v>925</v>
      </c>
      <c r="V359" t="s">
        <v>926</v>
      </c>
      <c r="W359" t="s">
        <v>91</v>
      </c>
      <c r="X359" t="s">
        <v>126</v>
      </c>
      <c r="Y359" t="s">
        <v>127</v>
      </c>
      <c r="Z359" t="s">
        <v>128</v>
      </c>
      <c r="AA359" t="s">
        <v>927</v>
      </c>
      <c r="AB359" t="s">
        <v>928</v>
      </c>
      <c r="AC359" t="s">
        <v>929</v>
      </c>
      <c r="AD359" t="s">
        <v>132</v>
      </c>
      <c r="AE359" t="s">
        <v>133</v>
      </c>
      <c r="AF359" t="s">
        <v>100</v>
      </c>
      <c r="AG359" t="s">
        <v>102</v>
      </c>
      <c r="AH359" t="s">
        <v>102</v>
      </c>
      <c r="AI359" t="s">
        <v>134</v>
      </c>
      <c r="AJ359" t="s">
        <v>135</v>
      </c>
      <c r="AM359" t="s">
        <v>136</v>
      </c>
      <c r="AN359" t="s">
        <v>242</v>
      </c>
      <c r="AT359">
        <f>((6.83+7.08)/2)/10</f>
        <v>0.69550000000000001</v>
      </c>
      <c r="AU359">
        <f>(5.7+6.23)/2</f>
        <v>5.9649999999999999</v>
      </c>
      <c r="AW359" t="s">
        <v>108</v>
      </c>
      <c r="AX359">
        <v>20</v>
      </c>
      <c r="AY359" t="s">
        <v>134</v>
      </c>
      <c r="AZ359" t="s">
        <v>109</v>
      </c>
      <c r="BA359" t="s">
        <v>138</v>
      </c>
      <c r="BB359">
        <v>20</v>
      </c>
      <c r="BC359">
        <v>25</v>
      </c>
      <c r="BE359" t="s">
        <v>139</v>
      </c>
      <c r="BF359">
        <v>30</v>
      </c>
      <c r="BG359">
        <v>0.3</v>
      </c>
      <c r="BO359">
        <f>(6.8+7.3)/2</f>
        <v>7.05</v>
      </c>
      <c r="BR359" t="s">
        <v>69</v>
      </c>
      <c r="BU359" t="s">
        <v>930</v>
      </c>
      <c r="BV359">
        <v>33.652410000000003</v>
      </c>
      <c r="BW359">
        <v>0.63526170000000004</v>
      </c>
      <c r="BX359">
        <v>8</v>
      </c>
      <c r="BY359">
        <v>36.796790000000001</v>
      </c>
      <c r="BZ359">
        <v>0.63526170000000004</v>
      </c>
      <c r="CA359">
        <v>8</v>
      </c>
      <c r="CB359" t="s">
        <v>113</v>
      </c>
      <c r="CC359" t="s">
        <v>319</v>
      </c>
    </row>
    <row r="360" spans="1:81" x14ac:dyDescent="0.25">
      <c r="A360" t="s">
        <v>81</v>
      </c>
      <c r="B360">
        <v>359</v>
      </c>
      <c r="C360">
        <v>78</v>
      </c>
      <c r="D360">
        <v>71</v>
      </c>
      <c r="E360">
        <v>72</v>
      </c>
      <c r="F360">
        <v>77</v>
      </c>
      <c r="G360">
        <v>196</v>
      </c>
      <c r="H360">
        <v>283</v>
      </c>
      <c r="I360" t="s">
        <v>921</v>
      </c>
      <c r="J360" t="s">
        <v>931</v>
      </c>
      <c r="L360" t="s">
        <v>932</v>
      </c>
      <c r="M360" t="s">
        <v>85</v>
      </c>
      <c r="O360" t="s">
        <v>14</v>
      </c>
      <c r="P360" t="s">
        <v>923</v>
      </c>
      <c r="Q360" t="s">
        <v>924</v>
      </c>
      <c r="R360">
        <v>2014</v>
      </c>
      <c r="S360" t="s">
        <v>505</v>
      </c>
      <c r="U360" t="s">
        <v>925</v>
      </c>
      <c r="V360" t="s">
        <v>926</v>
      </c>
      <c r="W360" t="s">
        <v>91</v>
      </c>
      <c r="X360" t="s">
        <v>126</v>
      </c>
      <c r="Y360" t="s">
        <v>127</v>
      </c>
      <c r="Z360" t="s">
        <v>128</v>
      </c>
      <c r="AA360" t="s">
        <v>927</v>
      </c>
      <c r="AB360" t="s">
        <v>928</v>
      </c>
      <c r="AC360" t="s">
        <v>929</v>
      </c>
      <c r="AD360" t="s">
        <v>132</v>
      </c>
      <c r="AE360" t="s">
        <v>133</v>
      </c>
      <c r="AF360" t="s">
        <v>100</v>
      </c>
      <c r="AG360" t="s">
        <v>102</v>
      </c>
      <c r="AH360" t="s">
        <v>102</v>
      </c>
      <c r="AI360" t="s">
        <v>134</v>
      </c>
      <c r="AJ360" t="s">
        <v>135</v>
      </c>
      <c r="AM360" t="s">
        <v>136</v>
      </c>
      <c r="AN360" t="s">
        <v>242</v>
      </c>
      <c r="AT360">
        <f>((6.95+6.83)/2)/10</f>
        <v>0.68900000000000006</v>
      </c>
      <c r="AU360">
        <f>(5.79+5.7)/2</f>
        <v>5.7450000000000001</v>
      </c>
      <c r="AW360" t="s">
        <v>108</v>
      </c>
      <c r="AX360">
        <v>20</v>
      </c>
      <c r="AY360" t="s">
        <v>134</v>
      </c>
      <c r="AZ360" t="s">
        <v>109</v>
      </c>
      <c r="BA360" t="s">
        <v>142</v>
      </c>
      <c r="BB360">
        <v>15</v>
      </c>
      <c r="BC360">
        <v>20</v>
      </c>
      <c r="BE360" t="s">
        <v>139</v>
      </c>
      <c r="BF360">
        <v>30</v>
      </c>
      <c r="BG360">
        <v>0.3</v>
      </c>
      <c r="BO360">
        <f>(6.8+7.3)/2</f>
        <v>7.05</v>
      </c>
      <c r="BR360" t="s">
        <v>69</v>
      </c>
      <c r="BU360" t="s">
        <v>930</v>
      </c>
      <c r="BV360">
        <v>32.88843</v>
      </c>
      <c r="BW360">
        <v>0.20453499999999999</v>
      </c>
      <c r="BX360">
        <v>8</v>
      </c>
      <c r="BY360">
        <v>34.2624</v>
      </c>
      <c r="BZ360">
        <v>0.81814010000000004</v>
      </c>
      <c r="CA360">
        <v>8</v>
      </c>
      <c r="CB360" t="s">
        <v>113</v>
      </c>
      <c r="CC360" t="s">
        <v>319</v>
      </c>
    </row>
    <row r="361" spans="1:81" x14ac:dyDescent="0.25">
      <c r="A361" t="s">
        <v>81</v>
      </c>
      <c r="B361">
        <v>360</v>
      </c>
      <c r="C361">
        <v>78</v>
      </c>
      <c r="D361">
        <v>71</v>
      </c>
      <c r="E361">
        <v>72</v>
      </c>
      <c r="F361">
        <v>77</v>
      </c>
      <c r="G361">
        <v>196</v>
      </c>
      <c r="H361">
        <v>284</v>
      </c>
      <c r="I361" t="s">
        <v>921</v>
      </c>
      <c r="J361" t="s">
        <v>931</v>
      </c>
      <c r="L361" t="s">
        <v>932</v>
      </c>
      <c r="M361" t="s">
        <v>85</v>
      </c>
      <c r="O361" t="s">
        <v>14</v>
      </c>
      <c r="P361" t="s">
        <v>923</v>
      </c>
      <c r="Q361" t="s">
        <v>924</v>
      </c>
      <c r="R361">
        <v>2014</v>
      </c>
      <c r="S361" t="s">
        <v>505</v>
      </c>
      <c r="U361" t="s">
        <v>925</v>
      </c>
      <c r="V361" t="s">
        <v>926</v>
      </c>
      <c r="W361" t="s">
        <v>91</v>
      </c>
      <c r="X361" t="s">
        <v>126</v>
      </c>
      <c r="Y361" t="s">
        <v>127</v>
      </c>
      <c r="Z361" t="s">
        <v>128</v>
      </c>
      <c r="AA361" t="s">
        <v>927</v>
      </c>
      <c r="AB361" t="s">
        <v>928</v>
      </c>
      <c r="AC361" t="s">
        <v>929</v>
      </c>
      <c r="AD361" t="s">
        <v>132</v>
      </c>
      <c r="AE361" t="s">
        <v>133</v>
      </c>
      <c r="AF361" t="s">
        <v>100</v>
      </c>
      <c r="AG361" t="s">
        <v>102</v>
      </c>
      <c r="AH361" t="s">
        <v>102</v>
      </c>
      <c r="AI361" t="s">
        <v>134</v>
      </c>
      <c r="AJ361" t="s">
        <v>135</v>
      </c>
      <c r="AM361" t="s">
        <v>136</v>
      </c>
      <c r="AN361" t="s">
        <v>242</v>
      </c>
      <c r="AT361">
        <f>((6.83+7.08)/2)/10</f>
        <v>0.69550000000000001</v>
      </c>
      <c r="AU361">
        <f>(5.7+6.23)/2</f>
        <v>5.9649999999999999</v>
      </c>
      <c r="AW361" t="s">
        <v>108</v>
      </c>
      <c r="AX361">
        <v>20</v>
      </c>
      <c r="AY361" t="s">
        <v>134</v>
      </c>
      <c r="AZ361" t="s">
        <v>109</v>
      </c>
      <c r="BA361" t="s">
        <v>142</v>
      </c>
      <c r="BB361">
        <v>20</v>
      </c>
      <c r="BC361">
        <v>25</v>
      </c>
      <c r="BE361" t="s">
        <v>139</v>
      </c>
      <c r="BF361">
        <v>30</v>
      </c>
      <c r="BG361">
        <v>0.3</v>
      </c>
      <c r="BO361">
        <f>(6.8+7.3)/2</f>
        <v>7.05</v>
      </c>
      <c r="BR361" t="s">
        <v>69</v>
      </c>
      <c r="BU361" t="s">
        <v>930</v>
      </c>
      <c r="BV361">
        <v>34.2624</v>
      </c>
      <c r="BW361">
        <v>0.81814010000000004</v>
      </c>
      <c r="BX361">
        <v>8</v>
      </c>
      <c r="BY361">
        <v>37.444209999999998</v>
      </c>
      <c r="BZ361">
        <v>0.40906999999999999</v>
      </c>
      <c r="CA361">
        <v>8</v>
      </c>
      <c r="CB361" t="s">
        <v>113</v>
      </c>
      <c r="CC361" t="s">
        <v>319</v>
      </c>
    </row>
    <row r="362" spans="1:81" x14ac:dyDescent="0.25">
      <c r="A362" t="s">
        <v>81</v>
      </c>
      <c r="B362">
        <v>361</v>
      </c>
      <c r="C362">
        <v>81</v>
      </c>
      <c r="D362">
        <v>74</v>
      </c>
      <c r="E362">
        <v>73</v>
      </c>
      <c r="F362">
        <v>78</v>
      </c>
      <c r="G362">
        <v>197</v>
      </c>
      <c r="H362">
        <v>285</v>
      </c>
      <c r="J362" t="s">
        <v>933</v>
      </c>
      <c r="L362" t="s">
        <v>934</v>
      </c>
      <c r="M362" t="s">
        <v>85</v>
      </c>
      <c r="O362" t="s">
        <v>14</v>
      </c>
      <c r="P362" t="s">
        <v>935</v>
      </c>
      <c r="Q362" t="s">
        <v>936</v>
      </c>
      <c r="R362">
        <v>2014</v>
      </c>
      <c r="S362" t="s">
        <v>158</v>
      </c>
      <c r="U362" t="s">
        <v>937</v>
      </c>
      <c r="V362" t="s">
        <v>938</v>
      </c>
      <c r="W362" t="s">
        <v>91</v>
      </c>
      <c r="X362" t="s">
        <v>126</v>
      </c>
      <c r="Y362" t="s">
        <v>939</v>
      </c>
      <c r="Z362" t="s">
        <v>940</v>
      </c>
      <c r="AA362" t="s">
        <v>941</v>
      </c>
      <c r="AB362" t="s">
        <v>942</v>
      </c>
      <c r="AC362" t="s">
        <v>943</v>
      </c>
      <c r="AD362" t="s">
        <v>132</v>
      </c>
      <c r="AE362" t="s">
        <v>133</v>
      </c>
      <c r="AF362" t="s">
        <v>100</v>
      </c>
      <c r="AG362" t="s">
        <v>101</v>
      </c>
      <c r="AH362" t="s">
        <v>102</v>
      </c>
      <c r="AI362" t="s">
        <v>134</v>
      </c>
      <c r="AJ362" t="s">
        <v>104</v>
      </c>
      <c r="AM362" t="s">
        <v>178</v>
      </c>
      <c r="AN362" t="s">
        <v>106</v>
      </c>
      <c r="AW362" t="s">
        <v>108</v>
      </c>
      <c r="AZ362" t="s">
        <v>109</v>
      </c>
      <c r="BA362" t="s">
        <v>142</v>
      </c>
      <c r="BB362">
        <v>18</v>
      </c>
      <c r="BC362">
        <v>22</v>
      </c>
      <c r="BD362">
        <v>0.2</v>
      </c>
      <c r="BE362" t="s">
        <v>139</v>
      </c>
      <c r="BG362">
        <f>1/30</f>
        <v>3.3333333333333333E-2</v>
      </c>
      <c r="BN362">
        <v>35.4</v>
      </c>
      <c r="BO362">
        <v>8.02</v>
      </c>
      <c r="BP362">
        <v>14</v>
      </c>
      <c r="BU362" t="s">
        <v>944</v>
      </c>
      <c r="BV362">
        <v>35.059910000000002</v>
      </c>
      <c r="BW362">
        <v>0.71428570000000002</v>
      </c>
      <c r="BX362">
        <v>30</v>
      </c>
      <c r="BY362">
        <v>35.658990000000003</v>
      </c>
      <c r="BZ362">
        <v>0.85253460000000003</v>
      </c>
      <c r="CA362">
        <v>30</v>
      </c>
      <c r="CB362" t="s">
        <v>113</v>
      </c>
      <c r="CC362" t="s">
        <v>945</v>
      </c>
    </row>
    <row r="363" spans="1:81" x14ac:dyDescent="0.25">
      <c r="A363" t="s">
        <v>81</v>
      </c>
      <c r="B363">
        <v>362</v>
      </c>
      <c r="C363">
        <v>81</v>
      </c>
      <c r="D363">
        <v>74</v>
      </c>
      <c r="E363">
        <v>73</v>
      </c>
      <c r="F363">
        <v>78</v>
      </c>
      <c r="G363">
        <v>198</v>
      </c>
      <c r="H363">
        <v>286</v>
      </c>
      <c r="J363" t="s">
        <v>933</v>
      </c>
      <c r="L363" t="s">
        <v>934</v>
      </c>
      <c r="M363" t="s">
        <v>85</v>
      </c>
      <c r="O363" t="s">
        <v>14</v>
      </c>
      <c r="P363" t="s">
        <v>935</v>
      </c>
      <c r="Q363" t="s">
        <v>936</v>
      </c>
      <c r="R363">
        <v>2014</v>
      </c>
      <c r="S363" t="s">
        <v>158</v>
      </c>
      <c r="U363" t="s">
        <v>937</v>
      </c>
      <c r="V363" t="s">
        <v>938</v>
      </c>
      <c r="W363" t="s">
        <v>91</v>
      </c>
      <c r="X363" t="s">
        <v>126</v>
      </c>
      <c r="Y363" t="s">
        <v>939</v>
      </c>
      <c r="Z363" t="s">
        <v>940</v>
      </c>
      <c r="AA363" t="s">
        <v>941</v>
      </c>
      <c r="AB363" t="s">
        <v>942</v>
      </c>
      <c r="AC363" t="s">
        <v>943</v>
      </c>
      <c r="AD363" t="s">
        <v>132</v>
      </c>
      <c r="AE363" t="s">
        <v>133</v>
      </c>
      <c r="AF363" t="s">
        <v>100</v>
      </c>
      <c r="AG363" t="s">
        <v>261</v>
      </c>
      <c r="AH363" t="s">
        <v>102</v>
      </c>
      <c r="AI363" t="s">
        <v>134</v>
      </c>
      <c r="AJ363" t="s">
        <v>135</v>
      </c>
      <c r="AM363" t="s">
        <v>178</v>
      </c>
      <c r="AN363" t="s">
        <v>106</v>
      </c>
      <c r="AV363">
        <v>30</v>
      </c>
      <c r="AW363" t="s">
        <v>108</v>
      </c>
      <c r="AZ363" t="s">
        <v>109</v>
      </c>
      <c r="BA363" t="s">
        <v>142</v>
      </c>
      <c r="BB363">
        <v>18</v>
      </c>
      <c r="BC363">
        <v>22</v>
      </c>
      <c r="BD363">
        <v>0.2</v>
      </c>
      <c r="BE363" t="s">
        <v>139</v>
      </c>
      <c r="BG363">
        <f>1/30</f>
        <v>3.3333333333333333E-2</v>
      </c>
      <c r="BN363">
        <v>35.4</v>
      </c>
      <c r="BO363">
        <v>8.02</v>
      </c>
      <c r="BP363">
        <v>14</v>
      </c>
      <c r="BU363" t="s">
        <v>946</v>
      </c>
      <c r="BV363">
        <v>36.99539</v>
      </c>
      <c r="BW363">
        <v>0.85253460000000003</v>
      </c>
      <c r="BX363">
        <v>30</v>
      </c>
      <c r="BY363">
        <v>38.26267</v>
      </c>
      <c r="BZ363">
        <v>0.483871</v>
      </c>
      <c r="CA363">
        <v>30</v>
      </c>
      <c r="CB363" t="s">
        <v>113</v>
      </c>
      <c r="CC363" t="s">
        <v>945</v>
      </c>
    </row>
    <row r="364" spans="1:81" x14ac:dyDescent="0.25">
      <c r="A364" t="s">
        <v>81</v>
      </c>
      <c r="B364">
        <v>363</v>
      </c>
      <c r="C364">
        <v>81</v>
      </c>
      <c r="D364">
        <v>74</v>
      </c>
      <c r="E364">
        <v>73</v>
      </c>
      <c r="F364">
        <v>78</v>
      </c>
      <c r="G364">
        <v>199</v>
      </c>
      <c r="H364">
        <v>287</v>
      </c>
      <c r="J364" t="s">
        <v>933</v>
      </c>
      <c r="L364" t="s">
        <v>934</v>
      </c>
      <c r="M364" t="s">
        <v>85</v>
      </c>
      <c r="O364" t="s">
        <v>14</v>
      </c>
      <c r="P364" t="s">
        <v>935</v>
      </c>
      <c r="Q364" t="s">
        <v>936</v>
      </c>
      <c r="R364">
        <v>2014</v>
      </c>
      <c r="S364" t="s">
        <v>158</v>
      </c>
      <c r="U364" t="s">
        <v>937</v>
      </c>
      <c r="V364" t="s">
        <v>938</v>
      </c>
      <c r="W364" t="s">
        <v>91</v>
      </c>
      <c r="X364" t="s">
        <v>126</v>
      </c>
      <c r="Y364" t="s">
        <v>939</v>
      </c>
      <c r="Z364" t="s">
        <v>940</v>
      </c>
      <c r="AA364" t="s">
        <v>941</v>
      </c>
      <c r="AB364" t="s">
        <v>942</v>
      </c>
      <c r="AC364" t="s">
        <v>943</v>
      </c>
      <c r="AD364" t="s">
        <v>132</v>
      </c>
      <c r="AE364" t="s">
        <v>133</v>
      </c>
      <c r="AF364" t="s">
        <v>100</v>
      </c>
      <c r="AG364" t="s">
        <v>101</v>
      </c>
      <c r="AH364" t="s">
        <v>102</v>
      </c>
      <c r="AI364" t="s">
        <v>134</v>
      </c>
      <c r="AJ364" t="s">
        <v>104</v>
      </c>
      <c r="AM364" t="s">
        <v>178</v>
      </c>
      <c r="AN364" t="s">
        <v>106</v>
      </c>
      <c r="AW364" t="s">
        <v>108</v>
      </c>
      <c r="AZ364" t="s">
        <v>109</v>
      </c>
      <c r="BA364" t="s">
        <v>142</v>
      </c>
      <c r="BB364">
        <v>18</v>
      </c>
      <c r="BC364">
        <v>22</v>
      </c>
      <c r="BD364">
        <v>0.2</v>
      </c>
      <c r="BE364" t="s">
        <v>139</v>
      </c>
      <c r="BG364">
        <f>1/30</f>
        <v>3.3333333333333333E-2</v>
      </c>
      <c r="BN364">
        <v>35.4</v>
      </c>
      <c r="BO364">
        <v>7.51</v>
      </c>
      <c r="BP364">
        <v>14</v>
      </c>
      <c r="BU364" t="s">
        <v>944</v>
      </c>
      <c r="BV364">
        <v>33.677419999999998</v>
      </c>
      <c r="BW364">
        <v>0.92165900000000001</v>
      </c>
      <c r="BX364">
        <v>30</v>
      </c>
      <c r="BY364">
        <v>34.967739999999999</v>
      </c>
      <c r="BZ364">
        <v>1.1520737000000001</v>
      </c>
      <c r="CA364">
        <v>30</v>
      </c>
      <c r="CB364" t="s">
        <v>113</v>
      </c>
      <c r="CC364" t="s">
        <v>945</v>
      </c>
    </row>
    <row r="365" spans="1:81" x14ac:dyDescent="0.25">
      <c r="A365" t="s">
        <v>81</v>
      </c>
      <c r="B365">
        <v>364</v>
      </c>
      <c r="C365">
        <v>81</v>
      </c>
      <c r="D365">
        <v>74</v>
      </c>
      <c r="E365">
        <v>73</v>
      </c>
      <c r="F365">
        <v>78</v>
      </c>
      <c r="G365">
        <v>200</v>
      </c>
      <c r="H365">
        <v>288</v>
      </c>
      <c r="J365" t="s">
        <v>933</v>
      </c>
      <c r="L365" t="s">
        <v>934</v>
      </c>
      <c r="M365" t="s">
        <v>85</v>
      </c>
      <c r="O365" t="s">
        <v>14</v>
      </c>
      <c r="P365" t="s">
        <v>935</v>
      </c>
      <c r="Q365" t="s">
        <v>936</v>
      </c>
      <c r="R365">
        <v>2014</v>
      </c>
      <c r="S365" t="s">
        <v>158</v>
      </c>
      <c r="U365" t="s">
        <v>937</v>
      </c>
      <c r="V365" t="s">
        <v>938</v>
      </c>
      <c r="W365" t="s">
        <v>91</v>
      </c>
      <c r="X365" t="s">
        <v>126</v>
      </c>
      <c r="Y365" t="s">
        <v>939</v>
      </c>
      <c r="Z365" t="s">
        <v>940</v>
      </c>
      <c r="AA365" t="s">
        <v>941</v>
      </c>
      <c r="AB365" t="s">
        <v>942</v>
      </c>
      <c r="AC365" t="s">
        <v>943</v>
      </c>
      <c r="AD365" t="s">
        <v>132</v>
      </c>
      <c r="AE365" t="s">
        <v>133</v>
      </c>
      <c r="AF365" t="s">
        <v>100</v>
      </c>
      <c r="AG365" t="s">
        <v>261</v>
      </c>
      <c r="AH365" t="s">
        <v>102</v>
      </c>
      <c r="AI365" t="s">
        <v>134</v>
      </c>
      <c r="AJ365" t="s">
        <v>135</v>
      </c>
      <c r="AM365" t="s">
        <v>178</v>
      </c>
      <c r="AN365" t="s">
        <v>106</v>
      </c>
      <c r="AV365">
        <v>30</v>
      </c>
      <c r="AW365" t="s">
        <v>108</v>
      </c>
      <c r="AZ365" t="s">
        <v>109</v>
      </c>
      <c r="BA365" t="s">
        <v>142</v>
      </c>
      <c r="BB365">
        <v>18</v>
      </c>
      <c r="BC365">
        <v>22</v>
      </c>
      <c r="BD365">
        <v>0.2</v>
      </c>
      <c r="BE365" t="s">
        <v>139</v>
      </c>
      <c r="BG365">
        <f>1/30</f>
        <v>3.3333333333333333E-2</v>
      </c>
      <c r="BN365">
        <v>35.4</v>
      </c>
      <c r="BO365">
        <v>7.51</v>
      </c>
      <c r="BP365">
        <v>14</v>
      </c>
      <c r="BU365" t="s">
        <v>946</v>
      </c>
      <c r="BV365">
        <v>35.451610000000002</v>
      </c>
      <c r="BW365">
        <v>0.57603689999999996</v>
      </c>
      <c r="BX365">
        <v>30</v>
      </c>
      <c r="BY365">
        <v>37.341009999999997</v>
      </c>
      <c r="BZ365">
        <v>0.69124419999999998</v>
      </c>
      <c r="CA365">
        <v>30</v>
      </c>
      <c r="CB365" t="s">
        <v>113</v>
      </c>
      <c r="CC365" t="s">
        <v>945</v>
      </c>
    </row>
    <row r="366" spans="1:81" x14ac:dyDescent="0.25">
      <c r="A366" t="s">
        <v>81</v>
      </c>
      <c r="B366">
        <v>365</v>
      </c>
      <c r="C366">
        <v>82</v>
      </c>
      <c r="D366">
        <v>75</v>
      </c>
      <c r="E366">
        <v>74</v>
      </c>
      <c r="F366">
        <v>79</v>
      </c>
      <c r="G366">
        <v>201</v>
      </c>
      <c r="H366">
        <v>289</v>
      </c>
      <c r="I366" t="s">
        <v>118</v>
      </c>
      <c r="J366" t="s">
        <v>197</v>
      </c>
      <c r="M366" t="s">
        <v>85</v>
      </c>
      <c r="O366" t="s">
        <v>14</v>
      </c>
      <c r="P366" t="s">
        <v>947</v>
      </c>
      <c r="Q366" t="s">
        <v>948</v>
      </c>
      <c r="R366">
        <v>2014</v>
      </c>
      <c r="S366" t="s">
        <v>949</v>
      </c>
      <c r="U366" t="s">
        <v>950</v>
      </c>
      <c r="V366" t="s">
        <v>951</v>
      </c>
      <c r="W366" t="s">
        <v>170</v>
      </c>
      <c r="X366" t="s">
        <v>171</v>
      </c>
      <c r="Y366" t="s">
        <v>778</v>
      </c>
      <c r="Z366" t="s">
        <v>952</v>
      </c>
      <c r="AA366" t="s">
        <v>953</v>
      </c>
      <c r="AB366" t="s">
        <v>954</v>
      </c>
      <c r="AC366" t="s">
        <v>955</v>
      </c>
      <c r="AD366" t="s">
        <v>98</v>
      </c>
      <c r="AE366" t="s">
        <v>177</v>
      </c>
      <c r="AF366" t="s">
        <v>100</v>
      </c>
      <c r="AG366" t="s">
        <v>102</v>
      </c>
      <c r="AH366" t="s">
        <v>102</v>
      </c>
      <c r="AI366" t="s">
        <v>134</v>
      </c>
      <c r="AJ366" t="s">
        <v>135</v>
      </c>
      <c r="AM366" t="s">
        <v>136</v>
      </c>
      <c r="AN366" t="s">
        <v>106</v>
      </c>
      <c r="AS366">
        <v>2010</v>
      </c>
      <c r="AW366" t="s">
        <v>108</v>
      </c>
      <c r="AX366">
        <v>23</v>
      </c>
      <c r="AY366" t="s">
        <v>134</v>
      </c>
      <c r="AZ366" t="s">
        <v>109</v>
      </c>
      <c r="BA366" t="s">
        <v>180</v>
      </c>
      <c r="BB366">
        <v>15</v>
      </c>
      <c r="BC366">
        <v>23</v>
      </c>
      <c r="BE366" t="s">
        <v>139</v>
      </c>
      <c r="BF366">
        <f t="shared" ref="BF366:BF371" si="19">(2+5)/2</f>
        <v>3.5</v>
      </c>
      <c r="BG366">
        <v>0.1</v>
      </c>
      <c r="BP366">
        <v>16</v>
      </c>
      <c r="BS366" t="s">
        <v>515</v>
      </c>
      <c r="BU366" t="s">
        <v>956</v>
      </c>
      <c r="BV366">
        <v>34.200000000000003</v>
      </c>
      <c r="BW366">
        <v>8.94427E-2</v>
      </c>
      <c r="BX366">
        <v>20</v>
      </c>
      <c r="BY366">
        <v>34.9</v>
      </c>
      <c r="BZ366">
        <v>5.8137767</v>
      </c>
      <c r="CA366">
        <v>20</v>
      </c>
      <c r="CB366" t="s">
        <v>113</v>
      </c>
      <c r="CC366" t="s">
        <v>770</v>
      </c>
    </row>
    <row r="367" spans="1:81" x14ac:dyDescent="0.25">
      <c r="A367" t="s">
        <v>81</v>
      </c>
      <c r="B367">
        <v>366</v>
      </c>
      <c r="C367">
        <v>82</v>
      </c>
      <c r="D367">
        <v>75</v>
      </c>
      <c r="E367">
        <v>74</v>
      </c>
      <c r="F367">
        <v>79</v>
      </c>
      <c r="G367">
        <v>201</v>
      </c>
      <c r="H367">
        <v>290</v>
      </c>
      <c r="I367" t="s">
        <v>118</v>
      </c>
      <c r="J367" t="s">
        <v>197</v>
      </c>
      <c r="M367" t="s">
        <v>85</v>
      </c>
      <c r="O367" t="s">
        <v>14</v>
      </c>
      <c r="P367" t="s">
        <v>947</v>
      </c>
      <c r="Q367" t="s">
        <v>948</v>
      </c>
      <c r="R367">
        <v>2014</v>
      </c>
      <c r="S367" t="s">
        <v>949</v>
      </c>
      <c r="U367" t="s">
        <v>950</v>
      </c>
      <c r="V367" t="s">
        <v>951</v>
      </c>
      <c r="W367" t="s">
        <v>170</v>
      </c>
      <c r="X367" t="s">
        <v>171</v>
      </c>
      <c r="Y367" t="s">
        <v>778</v>
      </c>
      <c r="Z367" t="s">
        <v>952</v>
      </c>
      <c r="AA367" t="s">
        <v>953</v>
      </c>
      <c r="AB367" t="s">
        <v>954</v>
      </c>
      <c r="AC367" t="s">
        <v>955</v>
      </c>
      <c r="AD367" t="s">
        <v>98</v>
      </c>
      <c r="AE367" t="s">
        <v>177</v>
      </c>
      <c r="AF367" t="s">
        <v>100</v>
      </c>
      <c r="AG367" t="s">
        <v>102</v>
      </c>
      <c r="AH367" t="s">
        <v>102</v>
      </c>
      <c r="AI367" t="s">
        <v>134</v>
      </c>
      <c r="AJ367" t="s">
        <v>135</v>
      </c>
      <c r="AM367" t="s">
        <v>136</v>
      </c>
      <c r="AN367" t="s">
        <v>106</v>
      </c>
      <c r="AS367">
        <v>2010</v>
      </c>
      <c r="AW367" t="s">
        <v>108</v>
      </c>
      <c r="AX367">
        <v>23</v>
      </c>
      <c r="AY367" t="s">
        <v>134</v>
      </c>
      <c r="AZ367" t="s">
        <v>109</v>
      </c>
      <c r="BA367" t="s">
        <v>180</v>
      </c>
      <c r="BB367">
        <v>23</v>
      </c>
      <c r="BC367">
        <v>30</v>
      </c>
      <c r="BE367" t="s">
        <v>139</v>
      </c>
      <c r="BF367">
        <f t="shared" si="19"/>
        <v>3.5</v>
      </c>
      <c r="BG367">
        <v>0.1</v>
      </c>
      <c r="BP367">
        <v>16</v>
      </c>
      <c r="BS367" t="s">
        <v>515</v>
      </c>
      <c r="BU367" t="s">
        <v>956</v>
      </c>
      <c r="BV367">
        <v>34.9</v>
      </c>
      <c r="BW367">
        <v>5.8137767</v>
      </c>
      <c r="BX367">
        <v>20</v>
      </c>
      <c r="BY367">
        <v>37.200000000000003</v>
      </c>
      <c r="BZ367">
        <v>0.44721359999999999</v>
      </c>
      <c r="CA367">
        <v>20</v>
      </c>
      <c r="CB367" t="s">
        <v>113</v>
      </c>
      <c r="CC367" t="s">
        <v>770</v>
      </c>
    </row>
    <row r="368" spans="1:81" x14ac:dyDescent="0.25">
      <c r="A368" t="s">
        <v>81</v>
      </c>
      <c r="B368">
        <v>367</v>
      </c>
      <c r="C368">
        <v>82</v>
      </c>
      <c r="D368">
        <v>75</v>
      </c>
      <c r="E368">
        <v>74</v>
      </c>
      <c r="F368">
        <v>79</v>
      </c>
      <c r="G368">
        <v>202</v>
      </c>
      <c r="H368">
        <v>291</v>
      </c>
      <c r="I368" t="s">
        <v>118</v>
      </c>
      <c r="J368" t="s">
        <v>197</v>
      </c>
      <c r="M368" t="s">
        <v>85</v>
      </c>
      <c r="O368" t="s">
        <v>14</v>
      </c>
      <c r="P368" t="s">
        <v>947</v>
      </c>
      <c r="Q368" t="s">
        <v>948</v>
      </c>
      <c r="R368">
        <v>2014</v>
      </c>
      <c r="S368" t="s">
        <v>949</v>
      </c>
      <c r="U368" t="s">
        <v>950</v>
      </c>
      <c r="V368" t="s">
        <v>951</v>
      </c>
      <c r="W368" t="s">
        <v>170</v>
      </c>
      <c r="X368" t="s">
        <v>171</v>
      </c>
      <c r="Y368" t="s">
        <v>778</v>
      </c>
      <c r="Z368" t="s">
        <v>952</v>
      </c>
      <c r="AA368" t="s">
        <v>953</v>
      </c>
      <c r="AB368" t="s">
        <v>954</v>
      </c>
      <c r="AC368" t="s">
        <v>955</v>
      </c>
      <c r="AD368" t="s">
        <v>98</v>
      </c>
      <c r="AE368" t="s">
        <v>177</v>
      </c>
      <c r="AF368" t="s">
        <v>100</v>
      </c>
      <c r="AG368" t="s">
        <v>102</v>
      </c>
      <c r="AH368" t="s">
        <v>102</v>
      </c>
      <c r="AI368" t="s">
        <v>134</v>
      </c>
      <c r="AJ368" t="s">
        <v>135</v>
      </c>
      <c r="AM368" t="s">
        <v>136</v>
      </c>
      <c r="AN368" t="s">
        <v>106</v>
      </c>
      <c r="AS368">
        <v>2010</v>
      </c>
      <c r="AW368" t="s">
        <v>108</v>
      </c>
      <c r="AX368">
        <v>23</v>
      </c>
      <c r="AY368" t="s">
        <v>134</v>
      </c>
      <c r="AZ368" t="s">
        <v>109</v>
      </c>
      <c r="BA368" t="s">
        <v>180</v>
      </c>
      <c r="BB368">
        <v>15</v>
      </c>
      <c r="BC368">
        <v>23</v>
      </c>
      <c r="BE368" t="s">
        <v>139</v>
      </c>
      <c r="BF368">
        <f t="shared" si="19"/>
        <v>3.5</v>
      </c>
      <c r="BG368">
        <v>0.1</v>
      </c>
      <c r="BP368">
        <v>16</v>
      </c>
      <c r="BS368" t="s">
        <v>515</v>
      </c>
      <c r="BU368" t="s">
        <v>957</v>
      </c>
      <c r="BV368">
        <v>37.6</v>
      </c>
      <c r="BW368">
        <v>0.44721359999999999</v>
      </c>
      <c r="BX368">
        <v>20</v>
      </c>
      <c r="BY368">
        <v>37.700000000000003</v>
      </c>
      <c r="BZ368">
        <v>5.8137767</v>
      </c>
      <c r="CA368">
        <v>20</v>
      </c>
      <c r="CB368" t="s">
        <v>113</v>
      </c>
      <c r="CC368" t="s">
        <v>770</v>
      </c>
    </row>
    <row r="369" spans="1:81" x14ac:dyDescent="0.25">
      <c r="A369" t="s">
        <v>81</v>
      </c>
      <c r="B369">
        <v>368</v>
      </c>
      <c r="C369">
        <v>82</v>
      </c>
      <c r="D369">
        <v>75</v>
      </c>
      <c r="E369">
        <v>74</v>
      </c>
      <c r="F369">
        <v>79</v>
      </c>
      <c r="G369">
        <v>202</v>
      </c>
      <c r="H369">
        <v>292</v>
      </c>
      <c r="I369" t="s">
        <v>118</v>
      </c>
      <c r="J369" t="s">
        <v>197</v>
      </c>
      <c r="M369" t="s">
        <v>85</v>
      </c>
      <c r="O369" t="s">
        <v>14</v>
      </c>
      <c r="P369" t="s">
        <v>947</v>
      </c>
      <c r="Q369" t="s">
        <v>948</v>
      </c>
      <c r="R369">
        <v>2014</v>
      </c>
      <c r="S369" t="s">
        <v>949</v>
      </c>
      <c r="U369" t="s">
        <v>950</v>
      </c>
      <c r="V369" t="s">
        <v>951</v>
      </c>
      <c r="W369" t="s">
        <v>170</v>
      </c>
      <c r="X369" t="s">
        <v>171</v>
      </c>
      <c r="Y369" t="s">
        <v>778</v>
      </c>
      <c r="Z369" t="s">
        <v>952</v>
      </c>
      <c r="AA369" t="s">
        <v>953</v>
      </c>
      <c r="AB369" t="s">
        <v>954</v>
      </c>
      <c r="AC369" t="s">
        <v>955</v>
      </c>
      <c r="AD369" t="s">
        <v>98</v>
      </c>
      <c r="AE369" t="s">
        <v>177</v>
      </c>
      <c r="AF369" t="s">
        <v>100</v>
      </c>
      <c r="AG369" t="s">
        <v>102</v>
      </c>
      <c r="AH369" t="s">
        <v>102</v>
      </c>
      <c r="AI369" t="s">
        <v>134</v>
      </c>
      <c r="AJ369" t="s">
        <v>135</v>
      </c>
      <c r="AM369" t="s">
        <v>136</v>
      </c>
      <c r="AN369" t="s">
        <v>106</v>
      </c>
      <c r="AS369">
        <v>2010</v>
      </c>
      <c r="AW369" t="s">
        <v>108</v>
      </c>
      <c r="AX369">
        <v>23</v>
      </c>
      <c r="AY369" t="s">
        <v>134</v>
      </c>
      <c r="AZ369" t="s">
        <v>109</v>
      </c>
      <c r="BA369" t="s">
        <v>180</v>
      </c>
      <c r="BB369">
        <v>23</v>
      </c>
      <c r="BC369">
        <v>30</v>
      </c>
      <c r="BE369" t="s">
        <v>139</v>
      </c>
      <c r="BF369">
        <f t="shared" si="19"/>
        <v>3.5</v>
      </c>
      <c r="BG369">
        <v>0.1</v>
      </c>
      <c r="BP369">
        <v>16</v>
      </c>
      <c r="BU369" t="s">
        <v>957</v>
      </c>
      <c r="BV369">
        <v>37.700000000000003</v>
      </c>
      <c r="BW369">
        <v>5.8137767</v>
      </c>
      <c r="BX369">
        <v>20</v>
      </c>
      <c r="BY369">
        <v>41</v>
      </c>
      <c r="BZ369">
        <v>1.3416408</v>
      </c>
      <c r="CA369">
        <v>20</v>
      </c>
      <c r="CB369" t="s">
        <v>113</v>
      </c>
      <c r="CC369" t="s">
        <v>770</v>
      </c>
    </row>
    <row r="370" spans="1:81" x14ac:dyDescent="0.25">
      <c r="A370" t="s">
        <v>81</v>
      </c>
      <c r="B370">
        <v>369</v>
      </c>
      <c r="C370">
        <v>82</v>
      </c>
      <c r="D370">
        <v>75</v>
      </c>
      <c r="E370">
        <v>74</v>
      </c>
      <c r="F370">
        <v>79</v>
      </c>
      <c r="G370">
        <v>203</v>
      </c>
      <c r="H370">
        <v>293</v>
      </c>
      <c r="I370" t="s">
        <v>118</v>
      </c>
      <c r="J370" t="s">
        <v>211</v>
      </c>
      <c r="M370" t="s">
        <v>85</v>
      </c>
      <c r="O370" t="s">
        <v>14</v>
      </c>
      <c r="P370" t="s">
        <v>947</v>
      </c>
      <c r="Q370" t="s">
        <v>948</v>
      </c>
      <c r="R370">
        <v>2014</v>
      </c>
      <c r="S370" t="s">
        <v>949</v>
      </c>
      <c r="U370" t="s">
        <v>950</v>
      </c>
      <c r="V370" t="s">
        <v>951</v>
      </c>
      <c r="W370" t="s">
        <v>170</v>
      </c>
      <c r="X370" t="s">
        <v>171</v>
      </c>
      <c r="Y370" t="s">
        <v>778</v>
      </c>
      <c r="Z370" t="s">
        <v>952</v>
      </c>
      <c r="AA370" t="s">
        <v>953</v>
      </c>
      <c r="AB370" t="s">
        <v>954</v>
      </c>
      <c r="AC370" t="s">
        <v>955</v>
      </c>
      <c r="AD370" t="s">
        <v>98</v>
      </c>
      <c r="AE370" t="s">
        <v>177</v>
      </c>
      <c r="AF370" t="s">
        <v>100</v>
      </c>
      <c r="AG370" t="s">
        <v>102</v>
      </c>
      <c r="AH370" t="s">
        <v>102</v>
      </c>
      <c r="AI370" t="s">
        <v>134</v>
      </c>
      <c r="AJ370" t="s">
        <v>135</v>
      </c>
      <c r="AM370" t="s">
        <v>136</v>
      </c>
      <c r="AN370" t="s">
        <v>106</v>
      </c>
      <c r="AS370">
        <v>2010</v>
      </c>
      <c r="AW370" t="s">
        <v>108</v>
      </c>
      <c r="AX370">
        <v>23</v>
      </c>
      <c r="AY370" t="s">
        <v>134</v>
      </c>
      <c r="AZ370" t="s">
        <v>212</v>
      </c>
      <c r="BA370" t="s">
        <v>142</v>
      </c>
      <c r="BB370">
        <v>15</v>
      </c>
      <c r="BC370">
        <v>23</v>
      </c>
      <c r="BE370" t="s">
        <v>139</v>
      </c>
      <c r="BF370">
        <f t="shared" si="19"/>
        <v>3.5</v>
      </c>
      <c r="BH370">
        <f>2/60</f>
        <v>3.3333333333333333E-2</v>
      </c>
      <c r="BJ370">
        <v>5</v>
      </c>
      <c r="BK370">
        <v>10</v>
      </c>
      <c r="BU370" t="s">
        <v>958</v>
      </c>
      <c r="BV370">
        <v>40.799999999999997</v>
      </c>
      <c r="BW370">
        <v>0.4</v>
      </c>
      <c r="BX370">
        <v>5</v>
      </c>
      <c r="BY370">
        <v>41.8</v>
      </c>
      <c r="BZ370">
        <v>0.1</v>
      </c>
      <c r="CA370">
        <v>5</v>
      </c>
      <c r="CB370" t="s">
        <v>215</v>
      </c>
      <c r="CC370" t="s">
        <v>959</v>
      </c>
    </row>
    <row r="371" spans="1:81" x14ac:dyDescent="0.25">
      <c r="A371" t="s">
        <v>81</v>
      </c>
      <c r="B371">
        <v>370</v>
      </c>
      <c r="C371">
        <v>82</v>
      </c>
      <c r="D371">
        <v>75</v>
      </c>
      <c r="E371">
        <v>74</v>
      </c>
      <c r="F371">
        <v>79</v>
      </c>
      <c r="G371">
        <v>203</v>
      </c>
      <c r="H371">
        <v>294</v>
      </c>
      <c r="I371" t="s">
        <v>118</v>
      </c>
      <c r="J371" t="s">
        <v>211</v>
      </c>
      <c r="M371" t="s">
        <v>85</v>
      </c>
      <c r="O371" t="s">
        <v>14</v>
      </c>
      <c r="P371" t="s">
        <v>947</v>
      </c>
      <c r="Q371" t="s">
        <v>948</v>
      </c>
      <c r="R371">
        <v>2014</v>
      </c>
      <c r="S371" t="s">
        <v>949</v>
      </c>
      <c r="U371" t="s">
        <v>950</v>
      </c>
      <c r="V371" t="s">
        <v>951</v>
      </c>
      <c r="W371" t="s">
        <v>170</v>
      </c>
      <c r="X371" t="s">
        <v>171</v>
      </c>
      <c r="Y371" t="s">
        <v>778</v>
      </c>
      <c r="Z371" t="s">
        <v>952</v>
      </c>
      <c r="AA371" t="s">
        <v>953</v>
      </c>
      <c r="AB371" t="s">
        <v>954</v>
      </c>
      <c r="AC371" t="s">
        <v>955</v>
      </c>
      <c r="AD371" t="s">
        <v>98</v>
      </c>
      <c r="AE371" t="s">
        <v>177</v>
      </c>
      <c r="AF371" t="s">
        <v>100</v>
      </c>
      <c r="AG371" t="s">
        <v>102</v>
      </c>
      <c r="AH371" t="s">
        <v>102</v>
      </c>
      <c r="AI371" t="s">
        <v>134</v>
      </c>
      <c r="AJ371" t="s">
        <v>135</v>
      </c>
      <c r="AM371" t="s">
        <v>136</v>
      </c>
      <c r="AN371" t="s">
        <v>106</v>
      </c>
      <c r="AS371">
        <v>2010</v>
      </c>
      <c r="AW371" t="s">
        <v>108</v>
      </c>
      <c r="AX371">
        <v>23</v>
      </c>
      <c r="AY371" t="s">
        <v>134</v>
      </c>
      <c r="AZ371" t="s">
        <v>212</v>
      </c>
      <c r="BA371" t="s">
        <v>142</v>
      </c>
      <c r="BB371">
        <v>23</v>
      </c>
      <c r="BC371">
        <v>30</v>
      </c>
      <c r="BE371" t="s">
        <v>139</v>
      </c>
      <c r="BF371">
        <f t="shared" si="19"/>
        <v>3.5</v>
      </c>
      <c r="BH371">
        <f>2/60</f>
        <v>3.3333333333333333E-2</v>
      </c>
      <c r="BJ371">
        <v>5</v>
      </c>
      <c r="BK371">
        <v>10</v>
      </c>
      <c r="BU371" t="s">
        <v>958</v>
      </c>
      <c r="BV371">
        <v>41.8</v>
      </c>
      <c r="BW371">
        <v>0.1</v>
      </c>
      <c r="BX371">
        <v>5</v>
      </c>
      <c r="BY371">
        <v>42.9</v>
      </c>
      <c r="BZ371">
        <v>0.1</v>
      </c>
      <c r="CA371">
        <v>5</v>
      </c>
      <c r="CB371" t="s">
        <v>215</v>
      </c>
      <c r="CC371" t="s">
        <v>959</v>
      </c>
    </row>
    <row r="372" spans="1:81" x14ac:dyDescent="0.25">
      <c r="A372" t="s">
        <v>81</v>
      </c>
      <c r="B372">
        <v>371</v>
      </c>
      <c r="C372">
        <v>86</v>
      </c>
      <c r="D372">
        <v>79</v>
      </c>
      <c r="E372">
        <v>75</v>
      </c>
      <c r="F372">
        <v>80</v>
      </c>
      <c r="G372">
        <v>204</v>
      </c>
      <c r="H372">
        <v>295</v>
      </c>
      <c r="I372" t="s">
        <v>322</v>
      </c>
      <c r="J372" t="s">
        <v>119</v>
      </c>
      <c r="L372" t="s">
        <v>960</v>
      </c>
      <c r="M372" t="s">
        <v>85</v>
      </c>
      <c r="O372" t="s">
        <v>14</v>
      </c>
      <c r="P372" t="s">
        <v>961</v>
      </c>
      <c r="Q372" t="s">
        <v>962</v>
      </c>
      <c r="R372">
        <v>2012</v>
      </c>
      <c r="S372" t="s">
        <v>146</v>
      </c>
      <c r="U372" t="s">
        <v>963</v>
      </c>
      <c r="V372" t="s">
        <v>964</v>
      </c>
      <c r="W372" t="s">
        <v>170</v>
      </c>
      <c r="X372" t="s">
        <v>965</v>
      </c>
      <c r="Y372" t="s">
        <v>966</v>
      </c>
      <c r="Z372" t="s">
        <v>967</v>
      </c>
      <c r="AA372" t="s">
        <v>968</v>
      </c>
      <c r="AB372" t="s">
        <v>969</v>
      </c>
      <c r="AC372" t="s">
        <v>970</v>
      </c>
      <c r="AD372" t="s">
        <v>132</v>
      </c>
      <c r="AE372" t="s">
        <v>316</v>
      </c>
      <c r="AF372" t="s">
        <v>260</v>
      </c>
      <c r="AG372" t="s">
        <v>102</v>
      </c>
      <c r="AH372" t="s">
        <v>102</v>
      </c>
      <c r="AI372" t="s">
        <v>134</v>
      </c>
      <c r="AJ372" t="s">
        <v>135</v>
      </c>
      <c r="AM372" t="s">
        <v>136</v>
      </c>
      <c r="AN372" t="s">
        <v>106</v>
      </c>
      <c r="AU372">
        <v>10</v>
      </c>
      <c r="AW372" t="s">
        <v>108</v>
      </c>
      <c r="AX372">
        <v>28</v>
      </c>
      <c r="AY372" t="s">
        <v>103</v>
      </c>
      <c r="AZ372" t="s">
        <v>109</v>
      </c>
      <c r="BA372" t="s">
        <v>110</v>
      </c>
      <c r="BB372">
        <v>20</v>
      </c>
      <c r="BC372">
        <v>23</v>
      </c>
      <c r="BD372">
        <v>1</v>
      </c>
      <c r="BE372" t="s">
        <v>111</v>
      </c>
      <c r="BF372">
        <v>30</v>
      </c>
      <c r="BG372">
        <v>1</v>
      </c>
      <c r="BN372">
        <v>10</v>
      </c>
      <c r="BS372" t="s">
        <v>768</v>
      </c>
      <c r="BU372" t="s">
        <v>971</v>
      </c>
      <c r="BV372">
        <v>36</v>
      </c>
      <c r="BW372">
        <v>0.85039600000000004</v>
      </c>
      <c r="BX372">
        <v>30</v>
      </c>
      <c r="BY372">
        <v>36.387219999999999</v>
      </c>
      <c r="BZ372">
        <v>0.4951064</v>
      </c>
      <c r="CA372">
        <v>30</v>
      </c>
      <c r="CB372" t="s">
        <v>113</v>
      </c>
      <c r="CC372" t="s">
        <v>451</v>
      </c>
    </row>
    <row r="373" spans="1:81" x14ac:dyDescent="0.25">
      <c r="A373" t="s">
        <v>81</v>
      </c>
      <c r="B373">
        <v>372</v>
      </c>
      <c r="C373">
        <v>86</v>
      </c>
      <c r="D373">
        <v>79</v>
      </c>
      <c r="E373">
        <v>75</v>
      </c>
      <c r="F373">
        <v>80</v>
      </c>
      <c r="G373">
        <v>204</v>
      </c>
      <c r="H373">
        <v>296</v>
      </c>
      <c r="I373" t="s">
        <v>322</v>
      </c>
      <c r="J373" t="s">
        <v>119</v>
      </c>
      <c r="L373" t="s">
        <v>960</v>
      </c>
      <c r="M373" t="s">
        <v>85</v>
      </c>
      <c r="O373" t="s">
        <v>14</v>
      </c>
      <c r="P373" t="s">
        <v>961</v>
      </c>
      <c r="Q373" t="s">
        <v>962</v>
      </c>
      <c r="R373">
        <v>2012</v>
      </c>
      <c r="S373" t="s">
        <v>146</v>
      </c>
      <c r="U373" t="s">
        <v>963</v>
      </c>
      <c r="V373" t="s">
        <v>964</v>
      </c>
      <c r="W373" t="s">
        <v>170</v>
      </c>
      <c r="X373" t="s">
        <v>965</v>
      </c>
      <c r="Y373" t="s">
        <v>966</v>
      </c>
      <c r="Z373" t="s">
        <v>967</v>
      </c>
      <c r="AA373" t="s">
        <v>968</v>
      </c>
      <c r="AB373" t="s">
        <v>969</v>
      </c>
      <c r="AC373" t="s">
        <v>970</v>
      </c>
      <c r="AD373" t="s">
        <v>132</v>
      </c>
      <c r="AE373" t="s">
        <v>316</v>
      </c>
      <c r="AF373" t="s">
        <v>260</v>
      </c>
      <c r="AG373" t="s">
        <v>102</v>
      </c>
      <c r="AH373" t="s">
        <v>102</v>
      </c>
      <c r="AI373" t="s">
        <v>134</v>
      </c>
      <c r="AJ373" t="s">
        <v>135</v>
      </c>
      <c r="AM373" t="s">
        <v>136</v>
      </c>
      <c r="AN373" t="s">
        <v>106</v>
      </c>
      <c r="AU373">
        <v>10</v>
      </c>
      <c r="AW373" t="s">
        <v>108</v>
      </c>
      <c r="AX373">
        <v>28</v>
      </c>
      <c r="AY373" t="s">
        <v>103</v>
      </c>
      <c r="AZ373" t="s">
        <v>109</v>
      </c>
      <c r="BA373" t="s">
        <v>110</v>
      </c>
      <c r="BB373">
        <v>23</v>
      </c>
      <c r="BC373">
        <v>26</v>
      </c>
      <c r="BD373">
        <v>1</v>
      </c>
      <c r="BE373" t="s">
        <v>111</v>
      </c>
      <c r="BF373">
        <v>30</v>
      </c>
      <c r="BG373">
        <v>1</v>
      </c>
      <c r="BN373">
        <v>10</v>
      </c>
      <c r="BS373" t="s">
        <v>768</v>
      </c>
      <c r="BU373" t="s">
        <v>971</v>
      </c>
      <c r="BV373">
        <v>36.387219999999999</v>
      </c>
      <c r="BW373">
        <v>0.4951064</v>
      </c>
      <c r="BX373">
        <v>30</v>
      </c>
      <c r="BY373">
        <v>37.830829999999999</v>
      </c>
      <c r="BZ373">
        <v>0.71989970000000003</v>
      </c>
      <c r="CA373">
        <v>30</v>
      </c>
      <c r="CB373" t="s">
        <v>113</v>
      </c>
      <c r="CC373" t="s">
        <v>451</v>
      </c>
    </row>
    <row r="374" spans="1:81" x14ac:dyDescent="0.25">
      <c r="A374" t="s">
        <v>81</v>
      </c>
      <c r="B374">
        <v>373</v>
      </c>
      <c r="C374">
        <v>86</v>
      </c>
      <c r="D374">
        <v>79</v>
      </c>
      <c r="E374">
        <v>75</v>
      </c>
      <c r="F374">
        <v>80</v>
      </c>
      <c r="G374">
        <v>204</v>
      </c>
      <c r="H374">
        <v>297</v>
      </c>
      <c r="I374" t="s">
        <v>322</v>
      </c>
      <c r="J374" t="s">
        <v>119</v>
      </c>
      <c r="L374" t="s">
        <v>960</v>
      </c>
      <c r="M374" t="s">
        <v>85</v>
      </c>
      <c r="O374" t="s">
        <v>14</v>
      </c>
      <c r="P374" t="s">
        <v>961</v>
      </c>
      <c r="Q374" t="s">
        <v>962</v>
      </c>
      <c r="R374">
        <v>2012</v>
      </c>
      <c r="S374" t="s">
        <v>146</v>
      </c>
      <c r="U374" t="s">
        <v>963</v>
      </c>
      <c r="V374" t="s">
        <v>964</v>
      </c>
      <c r="W374" t="s">
        <v>170</v>
      </c>
      <c r="X374" t="s">
        <v>965</v>
      </c>
      <c r="Y374" t="s">
        <v>966</v>
      </c>
      <c r="Z374" t="s">
        <v>967</v>
      </c>
      <c r="AA374" t="s">
        <v>968</v>
      </c>
      <c r="AB374" t="s">
        <v>969</v>
      </c>
      <c r="AC374" t="s">
        <v>970</v>
      </c>
      <c r="AD374" t="s">
        <v>132</v>
      </c>
      <c r="AE374" t="s">
        <v>316</v>
      </c>
      <c r="AF374" t="s">
        <v>260</v>
      </c>
      <c r="AG374" t="s">
        <v>102</v>
      </c>
      <c r="AH374" t="s">
        <v>102</v>
      </c>
      <c r="AI374" t="s">
        <v>134</v>
      </c>
      <c r="AJ374" t="s">
        <v>135</v>
      </c>
      <c r="AM374" t="s">
        <v>136</v>
      </c>
      <c r="AN374" t="s">
        <v>106</v>
      </c>
      <c r="AU374">
        <v>10</v>
      </c>
      <c r="AW374" t="s">
        <v>108</v>
      </c>
      <c r="AX374">
        <v>28</v>
      </c>
      <c r="AY374" t="s">
        <v>103</v>
      </c>
      <c r="AZ374" t="s">
        <v>109</v>
      </c>
      <c r="BA374" t="s">
        <v>110</v>
      </c>
      <c r="BB374">
        <v>26</v>
      </c>
      <c r="BC374">
        <v>29</v>
      </c>
      <c r="BD374">
        <v>1</v>
      </c>
      <c r="BE374" t="s">
        <v>111</v>
      </c>
      <c r="BF374">
        <v>30</v>
      </c>
      <c r="BG374">
        <v>1</v>
      </c>
      <c r="BN374">
        <v>10</v>
      </c>
      <c r="BS374" t="s">
        <v>768</v>
      </c>
      <c r="BU374" t="s">
        <v>971</v>
      </c>
      <c r="BV374">
        <v>37.830829999999999</v>
      </c>
      <c r="BW374">
        <v>0.71989970000000003</v>
      </c>
      <c r="BX374">
        <v>30</v>
      </c>
      <c r="BY374">
        <v>39.295110000000001</v>
      </c>
      <c r="BZ374">
        <v>0.41045730000000002</v>
      </c>
      <c r="CA374">
        <v>30</v>
      </c>
      <c r="CB374" t="s">
        <v>113</v>
      </c>
      <c r="CC374" t="s">
        <v>451</v>
      </c>
    </row>
    <row r="375" spans="1:81" x14ac:dyDescent="0.25">
      <c r="A375" t="s">
        <v>81</v>
      </c>
      <c r="B375">
        <v>374</v>
      </c>
      <c r="C375">
        <v>86</v>
      </c>
      <c r="D375">
        <v>79</v>
      </c>
      <c r="E375">
        <v>75</v>
      </c>
      <c r="F375">
        <v>80</v>
      </c>
      <c r="G375">
        <v>204</v>
      </c>
      <c r="H375">
        <v>298</v>
      </c>
      <c r="I375" t="s">
        <v>322</v>
      </c>
      <c r="J375" t="s">
        <v>119</v>
      </c>
      <c r="L375" t="s">
        <v>960</v>
      </c>
      <c r="M375" t="s">
        <v>85</v>
      </c>
      <c r="O375" t="s">
        <v>14</v>
      </c>
      <c r="P375" t="s">
        <v>961</v>
      </c>
      <c r="Q375" t="s">
        <v>962</v>
      </c>
      <c r="R375">
        <v>2012</v>
      </c>
      <c r="S375" t="s">
        <v>146</v>
      </c>
      <c r="U375" t="s">
        <v>963</v>
      </c>
      <c r="V375" t="s">
        <v>964</v>
      </c>
      <c r="W375" t="s">
        <v>170</v>
      </c>
      <c r="X375" t="s">
        <v>965</v>
      </c>
      <c r="Y375" t="s">
        <v>966</v>
      </c>
      <c r="Z375" t="s">
        <v>967</v>
      </c>
      <c r="AA375" t="s">
        <v>968</v>
      </c>
      <c r="AB375" t="s">
        <v>969</v>
      </c>
      <c r="AC375" t="s">
        <v>970</v>
      </c>
      <c r="AD375" t="s">
        <v>132</v>
      </c>
      <c r="AE375" t="s">
        <v>316</v>
      </c>
      <c r="AF375" t="s">
        <v>260</v>
      </c>
      <c r="AG375" t="s">
        <v>102</v>
      </c>
      <c r="AH375" t="s">
        <v>102</v>
      </c>
      <c r="AI375" t="s">
        <v>134</v>
      </c>
      <c r="AJ375" t="s">
        <v>135</v>
      </c>
      <c r="AM375" t="s">
        <v>136</v>
      </c>
      <c r="AN375" t="s">
        <v>106</v>
      </c>
      <c r="AU375">
        <v>10</v>
      </c>
      <c r="AW375" t="s">
        <v>108</v>
      </c>
      <c r="AX375">
        <v>28</v>
      </c>
      <c r="AY375" t="s">
        <v>103</v>
      </c>
      <c r="AZ375" t="s">
        <v>109</v>
      </c>
      <c r="BA375" t="s">
        <v>110</v>
      </c>
      <c r="BB375">
        <v>29</v>
      </c>
      <c r="BC375">
        <v>32</v>
      </c>
      <c r="BD375">
        <v>1</v>
      </c>
      <c r="BE375" t="s">
        <v>111</v>
      </c>
      <c r="BF375">
        <v>30</v>
      </c>
      <c r="BG375">
        <v>1</v>
      </c>
      <c r="BN375">
        <v>10</v>
      </c>
      <c r="BS375" t="s">
        <v>768</v>
      </c>
      <c r="BU375" t="s">
        <v>971</v>
      </c>
      <c r="BV375">
        <v>39.295110000000001</v>
      </c>
      <c r="BW375">
        <v>0.41045730000000002</v>
      </c>
      <c r="BX375">
        <v>30</v>
      </c>
      <c r="BY375">
        <v>41.050750000000001</v>
      </c>
      <c r="BZ375">
        <v>0.46660249999999998</v>
      </c>
      <c r="CA375">
        <v>30</v>
      </c>
      <c r="CB375" t="s">
        <v>113</v>
      </c>
      <c r="CC375" t="s">
        <v>451</v>
      </c>
    </row>
    <row r="376" spans="1:81" x14ac:dyDescent="0.25">
      <c r="A376" t="s">
        <v>81</v>
      </c>
      <c r="B376">
        <v>375</v>
      </c>
      <c r="C376">
        <v>86</v>
      </c>
      <c r="D376">
        <v>79</v>
      </c>
      <c r="E376">
        <v>75</v>
      </c>
      <c r="F376">
        <v>80</v>
      </c>
      <c r="G376">
        <v>205</v>
      </c>
      <c r="H376">
        <v>299</v>
      </c>
      <c r="I376" t="s">
        <v>322</v>
      </c>
      <c r="J376" t="s">
        <v>972</v>
      </c>
      <c r="L376" t="s">
        <v>973</v>
      </c>
      <c r="M376" t="s">
        <v>85</v>
      </c>
      <c r="O376" t="s">
        <v>14</v>
      </c>
      <c r="P376" t="s">
        <v>961</v>
      </c>
      <c r="Q376" t="s">
        <v>962</v>
      </c>
      <c r="R376">
        <v>2012</v>
      </c>
      <c r="S376" t="s">
        <v>146</v>
      </c>
      <c r="U376" t="s">
        <v>963</v>
      </c>
      <c r="V376" t="s">
        <v>964</v>
      </c>
      <c r="W376" t="s">
        <v>170</v>
      </c>
      <c r="X376" t="s">
        <v>965</v>
      </c>
      <c r="Y376" t="s">
        <v>966</v>
      </c>
      <c r="Z376" t="s">
        <v>967</v>
      </c>
      <c r="AA376" t="s">
        <v>968</v>
      </c>
      <c r="AB376" t="s">
        <v>969</v>
      </c>
      <c r="AC376" t="s">
        <v>970</v>
      </c>
      <c r="AD376" t="s">
        <v>132</v>
      </c>
      <c r="AE376" t="s">
        <v>316</v>
      </c>
      <c r="AF376" t="s">
        <v>260</v>
      </c>
      <c r="AG376" t="s">
        <v>102</v>
      </c>
      <c r="AH376" t="s">
        <v>102</v>
      </c>
      <c r="AI376" t="s">
        <v>134</v>
      </c>
      <c r="AJ376" t="s">
        <v>135</v>
      </c>
      <c r="AM376" t="s">
        <v>136</v>
      </c>
      <c r="AN376" t="s">
        <v>106</v>
      </c>
      <c r="AU376">
        <v>10</v>
      </c>
      <c r="AW376" t="s">
        <v>108</v>
      </c>
      <c r="AX376">
        <v>28</v>
      </c>
      <c r="AY376" t="s">
        <v>103</v>
      </c>
      <c r="AZ376" t="s">
        <v>109</v>
      </c>
      <c r="BA376" t="s">
        <v>110</v>
      </c>
      <c r="BB376">
        <v>20</v>
      </c>
      <c r="BC376">
        <v>23</v>
      </c>
      <c r="BD376">
        <v>1</v>
      </c>
      <c r="BE376" t="s">
        <v>111</v>
      </c>
      <c r="BF376">
        <v>30</v>
      </c>
      <c r="BG376">
        <v>1</v>
      </c>
      <c r="BN376">
        <v>26</v>
      </c>
      <c r="BS376" t="s">
        <v>768</v>
      </c>
      <c r="BU376" t="s">
        <v>971</v>
      </c>
      <c r="BV376">
        <v>35.726759999999999</v>
      </c>
      <c r="BW376">
        <v>0.36456880000000003</v>
      </c>
      <c r="BX376">
        <v>30</v>
      </c>
      <c r="BY376">
        <v>37.134720000000002</v>
      </c>
      <c r="BZ376">
        <v>0.63569989999999998</v>
      </c>
      <c r="CA376">
        <v>30</v>
      </c>
      <c r="CB376" t="s">
        <v>113</v>
      </c>
      <c r="CC376" t="s">
        <v>451</v>
      </c>
    </row>
    <row r="377" spans="1:81" x14ac:dyDescent="0.25">
      <c r="A377" t="s">
        <v>81</v>
      </c>
      <c r="B377">
        <v>376</v>
      </c>
      <c r="C377">
        <v>86</v>
      </c>
      <c r="D377">
        <v>79</v>
      </c>
      <c r="E377">
        <v>75</v>
      </c>
      <c r="F377">
        <v>80</v>
      </c>
      <c r="G377">
        <v>205</v>
      </c>
      <c r="H377">
        <v>300</v>
      </c>
      <c r="I377" t="s">
        <v>322</v>
      </c>
      <c r="J377" t="s">
        <v>972</v>
      </c>
      <c r="L377" t="s">
        <v>973</v>
      </c>
      <c r="M377" t="s">
        <v>85</v>
      </c>
      <c r="O377" t="s">
        <v>14</v>
      </c>
      <c r="P377" t="s">
        <v>961</v>
      </c>
      <c r="Q377" t="s">
        <v>962</v>
      </c>
      <c r="R377">
        <v>2012</v>
      </c>
      <c r="S377" t="s">
        <v>146</v>
      </c>
      <c r="U377" t="s">
        <v>963</v>
      </c>
      <c r="V377" t="s">
        <v>964</v>
      </c>
      <c r="W377" t="s">
        <v>170</v>
      </c>
      <c r="X377" t="s">
        <v>965</v>
      </c>
      <c r="Y377" t="s">
        <v>966</v>
      </c>
      <c r="Z377" t="s">
        <v>967</v>
      </c>
      <c r="AA377" t="s">
        <v>968</v>
      </c>
      <c r="AB377" t="s">
        <v>969</v>
      </c>
      <c r="AC377" t="s">
        <v>970</v>
      </c>
      <c r="AD377" t="s">
        <v>132</v>
      </c>
      <c r="AE377" t="s">
        <v>316</v>
      </c>
      <c r="AF377" t="s">
        <v>260</v>
      </c>
      <c r="AG377" t="s">
        <v>102</v>
      </c>
      <c r="AH377" t="s">
        <v>102</v>
      </c>
      <c r="AI377" t="s">
        <v>134</v>
      </c>
      <c r="AJ377" t="s">
        <v>135</v>
      </c>
      <c r="AM377" t="s">
        <v>136</v>
      </c>
      <c r="AN377" t="s">
        <v>106</v>
      </c>
      <c r="AU377">
        <v>10</v>
      </c>
      <c r="AW377" t="s">
        <v>108</v>
      </c>
      <c r="AX377">
        <v>28</v>
      </c>
      <c r="AY377" t="s">
        <v>103</v>
      </c>
      <c r="AZ377" t="s">
        <v>109</v>
      </c>
      <c r="BA377" t="s">
        <v>110</v>
      </c>
      <c r="BB377">
        <v>23</v>
      </c>
      <c r="BC377">
        <v>26</v>
      </c>
      <c r="BD377">
        <v>1</v>
      </c>
      <c r="BE377" t="s">
        <v>111</v>
      </c>
      <c r="BF377">
        <v>30</v>
      </c>
      <c r="BG377">
        <v>1</v>
      </c>
      <c r="BN377">
        <v>26</v>
      </c>
      <c r="BS377" t="s">
        <v>768</v>
      </c>
      <c r="BU377" t="s">
        <v>971</v>
      </c>
      <c r="BV377">
        <v>37.134720000000002</v>
      </c>
      <c r="BW377">
        <v>0.63569989999999998</v>
      </c>
      <c r="BX377">
        <v>30</v>
      </c>
      <c r="BY377">
        <v>38.02467</v>
      </c>
      <c r="BZ377">
        <v>0.55330670000000004</v>
      </c>
      <c r="CA377">
        <v>30</v>
      </c>
      <c r="CB377" t="s">
        <v>113</v>
      </c>
      <c r="CC377" t="s">
        <v>451</v>
      </c>
    </row>
    <row r="378" spans="1:81" x14ac:dyDescent="0.25">
      <c r="A378" t="s">
        <v>81</v>
      </c>
      <c r="B378">
        <v>377</v>
      </c>
      <c r="C378">
        <v>86</v>
      </c>
      <c r="D378">
        <v>79</v>
      </c>
      <c r="E378">
        <v>75</v>
      </c>
      <c r="F378">
        <v>80</v>
      </c>
      <c r="G378">
        <v>205</v>
      </c>
      <c r="H378">
        <v>301</v>
      </c>
      <c r="I378" t="s">
        <v>322</v>
      </c>
      <c r="J378" t="s">
        <v>972</v>
      </c>
      <c r="L378" t="s">
        <v>973</v>
      </c>
      <c r="M378" t="s">
        <v>85</v>
      </c>
      <c r="O378" t="s">
        <v>14</v>
      </c>
      <c r="P378" t="s">
        <v>961</v>
      </c>
      <c r="Q378" t="s">
        <v>962</v>
      </c>
      <c r="R378">
        <v>2012</v>
      </c>
      <c r="S378" t="s">
        <v>146</v>
      </c>
      <c r="U378" t="s">
        <v>963</v>
      </c>
      <c r="V378" t="s">
        <v>964</v>
      </c>
      <c r="W378" t="s">
        <v>170</v>
      </c>
      <c r="X378" t="s">
        <v>965</v>
      </c>
      <c r="Y378" t="s">
        <v>966</v>
      </c>
      <c r="Z378" t="s">
        <v>967</v>
      </c>
      <c r="AA378" t="s">
        <v>968</v>
      </c>
      <c r="AB378" t="s">
        <v>969</v>
      </c>
      <c r="AC378" t="s">
        <v>970</v>
      </c>
      <c r="AD378" t="s">
        <v>132</v>
      </c>
      <c r="AE378" t="s">
        <v>316</v>
      </c>
      <c r="AF378" t="s">
        <v>260</v>
      </c>
      <c r="AG378" t="s">
        <v>102</v>
      </c>
      <c r="AH378" t="s">
        <v>102</v>
      </c>
      <c r="AI378" t="s">
        <v>134</v>
      </c>
      <c r="AJ378" t="s">
        <v>135</v>
      </c>
      <c r="AM378" t="s">
        <v>136</v>
      </c>
      <c r="AN378" t="s">
        <v>106</v>
      </c>
      <c r="AU378">
        <v>10</v>
      </c>
      <c r="AW378" t="s">
        <v>108</v>
      </c>
      <c r="AX378">
        <v>28</v>
      </c>
      <c r="AY378" t="s">
        <v>103</v>
      </c>
      <c r="AZ378" t="s">
        <v>109</v>
      </c>
      <c r="BA378" t="s">
        <v>110</v>
      </c>
      <c r="BB378">
        <v>26</v>
      </c>
      <c r="BC378">
        <v>29</v>
      </c>
      <c r="BD378">
        <v>1</v>
      </c>
      <c r="BE378" t="s">
        <v>111</v>
      </c>
      <c r="BF378">
        <v>30</v>
      </c>
      <c r="BG378">
        <v>1</v>
      </c>
      <c r="BN378">
        <v>26</v>
      </c>
      <c r="BS378" t="s">
        <v>768</v>
      </c>
      <c r="BU378" t="s">
        <v>971</v>
      </c>
      <c r="BV378">
        <v>38.02467</v>
      </c>
      <c r="BW378">
        <v>0.55330670000000004</v>
      </c>
      <c r="BX378">
        <v>30</v>
      </c>
      <c r="BY378">
        <v>39.244779999999999</v>
      </c>
      <c r="BZ378">
        <v>0.54378930000000003</v>
      </c>
      <c r="CA378">
        <v>30</v>
      </c>
      <c r="CB378" t="s">
        <v>113</v>
      </c>
      <c r="CC378" t="s">
        <v>451</v>
      </c>
    </row>
    <row r="379" spans="1:81" x14ac:dyDescent="0.25">
      <c r="A379" t="s">
        <v>81</v>
      </c>
      <c r="B379">
        <v>378</v>
      </c>
      <c r="C379">
        <v>86</v>
      </c>
      <c r="D379">
        <v>79</v>
      </c>
      <c r="E379">
        <v>75</v>
      </c>
      <c r="F379">
        <v>80</v>
      </c>
      <c r="G379">
        <v>205</v>
      </c>
      <c r="H379">
        <v>302</v>
      </c>
      <c r="I379" t="s">
        <v>322</v>
      </c>
      <c r="J379" t="s">
        <v>972</v>
      </c>
      <c r="L379" t="s">
        <v>973</v>
      </c>
      <c r="M379" t="s">
        <v>85</v>
      </c>
      <c r="O379" t="s">
        <v>14</v>
      </c>
      <c r="P379" t="s">
        <v>961</v>
      </c>
      <c r="Q379" t="s">
        <v>962</v>
      </c>
      <c r="R379">
        <v>2012</v>
      </c>
      <c r="S379" t="s">
        <v>146</v>
      </c>
      <c r="U379" t="s">
        <v>963</v>
      </c>
      <c r="V379" t="s">
        <v>964</v>
      </c>
      <c r="W379" t="s">
        <v>170</v>
      </c>
      <c r="X379" t="s">
        <v>965</v>
      </c>
      <c r="Y379" t="s">
        <v>966</v>
      </c>
      <c r="Z379" t="s">
        <v>967</v>
      </c>
      <c r="AA379" t="s">
        <v>968</v>
      </c>
      <c r="AB379" t="s">
        <v>969</v>
      </c>
      <c r="AC379" t="s">
        <v>970</v>
      </c>
      <c r="AD379" t="s">
        <v>132</v>
      </c>
      <c r="AE379" t="s">
        <v>316</v>
      </c>
      <c r="AF379" t="s">
        <v>260</v>
      </c>
      <c r="AG379" t="s">
        <v>102</v>
      </c>
      <c r="AH379" t="s">
        <v>102</v>
      </c>
      <c r="AI379" t="s">
        <v>134</v>
      </c>
      <c r="AJ379" t="s">
        <v>135</v>
      </c>
      <c r="AM379" t="s">
        <v>136</v>
      </c>
      <c r="AN379" t="s">
        <v>106</v>
      </c>
      <c r="AU379">
        <v>10</v>
      </c>
      <c r="AW379" t="s">
        <v>108</v>
      </c>
      <c r="AX379">
        <v>28</v>
      </c>
      <c r="AY379" t="s">
        <v>103</v>
      </c>
      <c r="AZ379" t="s">
        <v>109</v>
      </c>
      <c r="BA379" t="s">
        <v>110</v>
      </c>
      <c r="BB379">
        <v>29</v>
      </c>
      <c r="BC379">
        <v>32</v>
      </c>
      <c r="BD379">
        <v>1</v>
      </c>
      <c r="BE379" t="s">
        <v>111</v>
      </c>
      <c r="BF379">
        <v>30</v>
      </c>
      <c r="BG379">
        <v>1</v>
      </c>
      <c r="BN379">
        <v>26</v>
      </c>
      <c r="BS379" t="s">
        <v>768</v>
      </c>
      <c r="BU379" t="s">
        <v>971</v>
      </c>
      <c r="BV379">
        <v>39.244779999999999</v>
      </c>
      <c r="BW379">
        <v>0.54378930000000003</v>
      </c>
      <c r="BX379">
        <v>30</v>
      </c>
      <c r="BY379">
        <v>40.922199999999997</v>
      </c>
      <c r="BZ379">
        <v>0.46063379999999998</v>
      </c>
      <c r="CA379">
        <v>30</v>
      </c>
      <c r="CB379" t="s">
        <v>113</v>
      </c>
      <c r="CC379" t="s">
        <v>451</v>
      </c>
    </row>
    <row r="380" spans="1:81" x14ac:dyDescent="0.25">
      <c r="A380" t="s">
        <v>81</v>
      </c>
      <c r="B380">
        <v>379</v>
      </c>
      <c r="C380">
        <v>86</v>
      </c>
      <c r="D380">
        <v>79</v>
      </c>
      <c r="E380">
        <v>75</v>
      </c>
      <c r="F380">
        <v>80</v>
      </c>
      <c r="G380">
        <v>206</v>
      </c>
      <c r="H380">
        <v>303</v>
      </c>
      <c r="I380" t="s">
        <v>322</v>
      </c>
      <c r="J380" t="s">
        <v>931</v>
      </c>
      <c r="L380" t="s">
        <v>974</v>
      </c>
      <c r="M380" t="s">
        <v>85</v>
      </c>
      <c r="O380" t="s">
        <v>14</v>
      </c>
      <c r="P380" t="s">
        <v>961</v>
      </c>
      <c r="Q380" t="s">
        <v>962</v>
      </c>
      <c r="R380">
        <v>2012</v>
      </c>
      <c r="S380" t="s">
        <v>146</v>
      </c>
      <c r="U380" t="s">
        <v>963</v>
      </c>
      <c r="V380" t="s">
        <v>964</v>
      </c>
      <c r="W380" t="s">
        <v>170</v>
      </c>
      <c r="X380" t="s">
        <v>965</v>
      </c>
      <c r="Y380" t="s">
        <v>966</v>
      </c>
      <c r="Z380" t="s">
        <v>967</v>
      </c>
      <c r="AA380" t="s">
        <v>968</v>
      </c>
      <c r="AB380" t="s">
        <v>969</v>
      </c>
      <c r="AC380" t="s">
        <v>970</v>
      </c>
      <c r="AD380" t="s">
        <v>132</v>
      </c>
      <c r="AE380" t="s">
        <v>316</v>
      </c>
      <c r="AF380" t="s">
        <v>260</v>
      </c>
      <c r="AG380" t="s">
        <v>102</v>
      </c>
      <c r="AH380" t="s">
        <v>102</v>
      </c>
      <c r="AI380" t="s">
        <v>134</v>
      </c>
      <c r="AJ380" t="s">
        <v>135</v>
      </c>
      <c r="AM380" t="s">
        <v>136</v>
      </c>
      <c r="AN380" t="s">
        <v>106</v>
      </c>
      <c r="AU380">
        <v>10</v>
      </c>
      <c r="AW380" t="s">
        <v>108</v>
      </c>
      <c r="AX380">
        <v>28</v>
      </c>
      <c r="AY380" t="s">
        <v>103</v>
      </c>
      <c r="AZ380" t="s">
        <v>109</v>
      </c>
      <c r="BA380" t="s">
        <v>110</v>
      </c>
      <c r="BB380">
        <v>20</v>
      </c>
      <c r="BC380">
        <v>23</v>
      </c>
      <c r="BD380">
        <v>1</v>
      </c>
      <c r="BE380" t="s">
        <v>111</v>
      </c>
      <c r="BF380">
        <v>30</v>
      </c>
      <c r="BG380">
        <v>1</v>
      </c>
      <c r="BN380">
        <v>40</v>
      </c>
      <c r="BS380" t="s">
        <v>768</v>
      </c>
      <c r="BU380" t="s">
        <v>971</v>
      </c>
      <c r="BV380">
        <v>36.40316</v>
      </c>
      <c r="BW380">
        <v>0.68213630000000003</v>
      </c>
      <c r="BX380">
        <v>30</v>
      </c>
      <c r="BY380">
        <v>38.733199999999997</v>
      </c>
      <c r="BZ380">
        <v>0.42357280000000003</v>
      </c>
      <c r="CA380">
        <v>30</v>
      </c>
      <c r="CB380" t="s">
        <v>113</v>
      </c>
      <c r="CC380" t="s">
        <v>451</v>
      </c>
    </row>
    <row r="381" spans="1:81" x14ac:dyDescent="0.25">
      <c r="A381" t="s">
        <v>81</v>
      </c>
      <c r="B381">
        <v>380</v>
      </c>
      <c r="C381">
        <v>86</v>
      </c>
      <c r="D381">
        <v>79</v>
      </c>
      <c r="E381">
        <v>75</v>
      </c>
      <c r="F381">
        <v>80</v>
      </c>
      <c r="G381">
        <v>206</v>
      </c>
      <c r="H381">
        <v>304</v>
      </c>
      <c r="I381" t="s">
        <v>322</v>
      </c>
      <c r="J381" t="s">
        <v>931</v>
      </c>
      <c r="L381" t="s">
        <v>974</v>
      </c>
      <c r="M381" t="s">
        <v>85</v>
      </c>
      <c r="O381" t="s">
        <v>14</v>
      </c>
      <c r="P381" t="s">
        <v>961</v>
      </c>
      <c r="Q381" t="s">
        <v>962</v>
      </c>
      <c r="R381">
        <v>2012</v>
      </c>
      <c r="S381" t="s">
        <v>146</v>
      </c>
      <c r="U381" t="s">
        <v>963</v>
      </c>
      <c r="V381" t="s">
        <v>964</v>
      </c>
      <c r="W381" t="s">
        <v>170</v>
      </c>
      <c r="X381" t="s">
        <v>965</v>
      </c>
      <c r="Y381" t="s">
        <v>966</v>
      </c>
      <c r="Z381" t="s">
        <v>967</v>
      </c>
      <c r="AA381" t="s">
        <v>968</v>
      </c>
      <c r="AB381" t="s">
        <v>969</v>
      </c>
      <c r="AC381" t="s">
        <v>970</v>
      </c>
      <c r="AD381" t="s">
        <v>132</v>
      </c>
      <c r="AE381" t="s">
        <v>316</v>
      </c>
      <c r="AF381" t="s">
        <v>260</v>
      </c>
      <c r="AG381" t="s">
        <v>102</v>
      </c>
      <c r="AH381" t="s">
        <v>102</v>
      </c>
      <c r="AI381" t="s">
        <v>134</v>
      </c>
      <c r="AJ381" t="s">
        <v>135</v>
      </c>
      <c r="AM381" t="s">
        <v>136</v>
      </c>
      <c r="AN381" t="s">
        <v>106</v>
      </c>
      <c r="AU381">
        <v>10</v>
      </c>
      <c r="AW381" t="s">
        <v>108</v>
      </c>
      <c r="AX381">
        <v>28</v>
      </c>
      <c r="AY381" t="s">
        <v>103</v>
      </c>
      <c r="AZ381" t="s">
        <v>109</v>
      </c>
      <c r="BA381" t="s">
        <v>110</v>
      </c>
      <c r="BB381">
        <v>23</v>
      </c>
      <c r="BC381">
        <v>26</v>
      </c>
      <c r="BD381">
        <v>1</v>
      </c>
      <c r="BE381" t="s">
        <v>111</v>
      </c>
      <c r="BF381">
        <v>30</v>
      </c>
      <c r="BG381">
        <v>1</v>
      </c>
      <c r="BN381">
        <v>40</v>
      </c>
      <c r="BS381" t="s">
        <v>768</v>
      </c>
      <c r="BU381" t="s">
        <v>971</v>
      </c>
      <c r="BV381">
        <v>38.733199999999997</v>
      </c>
      <c r="BW381">
        <v>0.42357280000000003</v>
      </c>
      <c r="BX381">
        <v>30</v>
      </c>
      <c r="BY381">
        <v>39.191699999999997</v>
      </c>
      <c r="BZ381">
        <v>0.34608220000000001</v>
      </c>
      <c r="CA381">
        <v>30</v>
      </c>
      <c r="CB381" t="s">
        <v>113</v>
      </c>
      <c r="CC381" t="s">
        <v>451</v>
      </c>
    </row>
    <row r="382" spans="1:81" x14ac:dyDescent="0.25">
      <c r="A382" t="s">
        <v>81</v>
      </c>
      <c r="B382">
        <v>381</v>
      </c>
      <c r="C382">
        <v>86</v>
      </c>
      <c r="D382">
        <v>79</v>
      </c>
      <c r="E382">
        <v>75</v>
      </c>
      <c r="F382">
        <v>80</v>
      </c>
      <c r="G382">
        <v>206</v>
      </c>
      <c r="H382">
        <v>305</v>
      </c>
      <c r="I382" t="s">
        <v>322</v>
      </c>
      <c r="J382" t="s">
        <v>931</v>
      </c>
      <c r="L382" t="s">
        <v>974</v>
      </c>
      <c r="M382" t="s">
        <v>85</v>
      </c>
      <c r="O382" t="s">
        <v>14</v>
      </c>
      <c r="P382" t="s">
        <v>961</v>
      </c>
      <c r="Q382" t="s">
        <v>962</v>
      </c>
      <c r="R382">
        <v>2012</v>
      </c>
      <c r="S382" t="s">
        <v>146</v>
      </c>
      <c r="U382" t="s">
        <v>963</v>
      </c>
      <c r="V382" t="s">
        <v>964</v>
      </c>
      <c r="W382" t="s">
        <v>170</v>
      </c>
      <c r="X382" t="s">
        <v>965</v>
      </c>
      <c r="Y382" t="s">
        <v>966</v>
      </c>
      <c r="Z382" t="s">
        <v>967</v>
      </c>
      <c r="AA382" t="s">
        <v>968</v>
      </c>
      <c r="AB382" t="s">
        <v>969</v>
      </c>
      <c r="AC382" t="s">
        <v>970</v>
      </c>
      <c r="AD382" t="s">
        <v>132</v>
      </c>
      <c r="AE382" t="s">
        <v>316</v>
      </c>
      <c r="AF382" t="s">
        <v>260</v>
      </c>
      <c r="AG382" t="s">
        <v>102</v>
      </c>
      <c r="AH382" t="s">
        <v>102</v>
      </c>
      <c r="AI382" t="s">
        <v>134</v>
      </c>
      <c r="AJ382" t="s">
        <v>135</v>
      </c>
      <c r="AM382" t="s">
        <v>136</v>
      </c>
      <c r="AN382" t="s">
        <v>106</v>
      </c>
      <c r="AU382">
        <v>10</v>
      </c>
      <c r="AW382" t="s">
        <v>108</v>
      </c>
      <c r="AX382">
        <v>28</v>
      </c>
      <c r="AY382" t="s">
        <v>103</v>
      </c>
      <c r="AZ382" t="s">
        <v>109</v>
      </c>
      <c r="BA382" t="s">
        <v>110</v>
      </c>
      <c r="BB382">
        <v>26</v>
      </c>
      <c r="BC382">
        <v>29</v>
      </c>
      <c r="BD382">
        <v>1</v>
      </c>
      <c r="BE382" t="s">
        <v>111</v>
      </c>
      <c r="BF382">
        <v>30</v>
      </c>
      <c r="BG382">
        <v>1</v>
      </c>
      <c r="BN382">
        <v>40</v>
      </c>
      <c r="BS382" t="s">
        <v>768</v>
      </c>
      <c r="BU382" t="s">
        <v>971</v>
      </c>
      <c r="BV382">
        <v>39.191699999999997</v>
      </c>
      <c r="BW382">
        <v>0.34608220000000001</v>
      </c>
      <c r="BX382">
        <v>30</v>
      </c>
      <c r="BY382">
        <v>40.399209999999997</v>
      </c>
      <c r="BZ382">
        <v>0.46653440000000002</v>
      </c>
      <c r="CA382">
        <v>30</v>
      </c>
      <c r="CB382" t="s">
        <v>113</v>
      </c>
      <c r="CC382" t="s">
        <v>451</v>
      </c>
    </row>
    <row r="383" spans="1:81" x14ac:dyDescent="0.25">
      <c r="A383" t="s">
        <v>81</v>
      </c>
      <c r="B383">
        <v>382</v>
      </c>
      <c r="C383">
        <v>86</v>
      </c>
      <c r="D383">
        <v>79</v>
      </c>
      <c r="E383">
        <v>75</v>
      </c>
      <c r="F383">
        <v>80</v>
      </c>
      <c r="G383">
        <v>206</v>
      </c>
      <c r="H383">
        <v>306</v>
      </c>
      <c r="I383" t="s">
        <v>322</v>
      </c>
      <c r="J383" t="s">
        <v>931</v>
      </c>
      <c r="L383" t="s">
        <v>974</v>
      </c>
      <c r="M383" t="s">
        <v>85</v>
      </c>
      <c r="O383" t="s">
        <v>14</v>
      </c>
      <c r="P383" t="s">
        <v>961</v>
      </c>
      <c r="Q383" t="s">
        <v>962</v>
      </c>
      <c r="R383">
        <v>2012</v>
      </c>
      <c r="S383" t="s">
        <v>146</v>
      </c>
      <c r="U383" t="s">
        <v>963</v>
      </c>
      <c r="V383" t="s">
        <v>964</v>
      </c>
      <c r="W383" t="s">
        <v>170</v>
      </c>
      <c r="X383" t="s">
        <v>965</v>
      </c>
      <c r="Y383" t="s">
        <v>966</v>
      </c>
      <c r="Z383" t="s">
        <v>967</v>
      </c>
      <c r="AA383" t="s">
        <v>968</v>
      </c>
      <c r="AB383" t="s">
        <v>969</v>
      </c>
      <c r="AC383" t="s">
        <v>970</v>
      </c>
      <c r="AD383" t="s">
        <v>132</v>
      </c>
      <c r="AE383" t="s">
        <v>316</v>
      </c>
      <c r="AF383" t="s">
        <v>260</v>
      </c>
      <c r="AG383" t="s">
        <v>102</v>
      </c>
      <c r="AH383" t="s">
        <v>102</v>
      </c>
      <c r="AI383" t="s">
        <v>134</v>
      </c>
      <c r="AJ383" t="s">
        <v>135</v>
      </c>
      <c r="AM383" t="s">
        <v>136</v>
      </c>
      <c r="AN383" t="s">
        <v>106</v>
      </c>
      <c r="AU383">
        <v>10</v>
      </c>
      <c r="AW383" t="s">
        <v>108</v>
      </c>
      <c r="AX383">
        <v>28</v>
      </c>
      <c r="AY383" t="s">
        <v>103</v>
      </c>
      <c r="AZ383" t="s">
        <v>109</v>
      </c>
      <c r="BA383" t="s">
        <v>110</v>
      </c>
      <c r="BB383">
        <v>29</v>
      </c>
      <c r="BC383">
        <v>32</v>
      </c>
      <c r="BD383">
        <v>1</v>
      </c>
      <c r="BE383" t="s">
        <v>111</v>
      </c>
      <c r="BF383">
        <v>30</v>
      </c>
      <c r="BG383">
        <v>1</v>
      </c>
      <c r="BN383">
        <v>40</v>
      </c>
      <c r="BS383" t="s">
        <v>768</v>
      </c>
      <c r="BU383" t="s">
        <v>971</v>
      </c>
      <c r="BV383">
        <v>40.399209999999997</v>
      </c>
      <c r="BW383">
        <v>0.46653440000000002</v>
      </c>
      <c r="BX383">
        <v>30</v>
      </c>
      <c r="BY383">
        <v>41.460470000000001</v>
      </c>
      <c r="BZ383">
        <v>0.3166814</v>
      </c>
      <c r="CA383">
        <v>30</v>
      </c>
      <c r="CB383" t="s">
        <v>113</v>
      </c>
      <c r="CC383" t="s">
        <v>451</v>
      </c>
    </row>
    <row r="384" spans="1:81" x14ac:dyDescent="0.25">
      <c r="A384" t="s">
        <v>81</v>
      </c>
      <c r="B384">
        <v>383</v>
      </c>
      <c r="C384">
        <v>87</v>
      </c>
      <c r="D384">
        <v>80</v>
      </c>
      <c r="E384">
        <v>76</v>
      </c>
      <c r="F384">
        <v>81</v>
      </c>
      <c r="G384">
        <v>207</v>
      </c>
      <c r="H384">
        <v>307</v>
      </c>
      <c r="I384" t="s">
        <v>322</v>
      </c>
      <c r="J384" t="s">
        <v>338</v>
      </c>
      <c r="L384" t="s">
        <v>975</v>
      </c>
      <c r="M384" t="s">
        <v>85</v>
      </c>
      <c r="O384" t="s">
        <v>14</v>
      </c>
      <c r="P384" t="s">
        <v>976</v>
      </c>
      <c r="Q384" t="s">
        <v>977</v>
      </c>
      <c r="R384">
        <v>2011</v>
      </c>
      <c r="S384" t="s">
        <v>146</v>
      </c>
      <c r="U384" t="s">
        <v>978</v>
      </c>
      <c r="V384" t="s">
        <v>979</v>
      </c>
      <c r="W384" t="s">
        <v>91</v>
      </c>
      <c r="X384" t="s">
        <v>126</v>
      </c>
      <c r="Y384" t="s">
        <v>980</v>
      </c>
      <c r="Z384" t="s">
        <v>981</v>
      </c>
      <c r="AA384" t="s">
        <v>982</v>
      </c>
      <c r="AB384" t="s">
        <v>983</v>
      </c>
      <c r="AC384" t="s">
        <v>984</v>
      </c>
      <c r="AD384" t="s">
        <v>132</v>
      </c>
      <c r="AE384" t="s">
        <v>133</v>
      </c>
      <c r="AF384" t="s">
        <v>100</v>
      </c>
      <c r="AG384" t="s">
        <v>102</v>
      </c>
      <c r="AH384" t="s">
        <v>102</v>
      </c>
      <c r="AI384" t="s">
        <v>134</v>
      </c>
      <c r="AJ384" t="s">
        <v>135</v>
      </c>
      <c r="AM384" t="s">
        <v>136</v>
      </c>
      <c r="AN384" t="s">
        <v>106</v>
      </c>
      <c r="AT384">
        <v>60</v>
      </c>
      <c r="AW384" t="s">
        <v>108</v>
      </c>
      <c r="AX384">
        <v>21</v>
      </c>
      <c r="AY384" t="s">
        <v>103</v>
      </c>
      <c r="AZ384" t="s">
        <v>109</v>
      </c>
      <c r="BA384" t="s">
        <v>110</v>
      </c>
      <c r="BB384">
        <v>19</v>
      </c>
      <c r="BC384">
        <v>22</v>
      </c>
      <c r="BD384">
        <v>1</v>
      </c>
      <c r="BE384" t="s">
        <v>111</v>
      </c>
      <c r="BF384">
        <v>30</v>
      </c>
      <c r="BG384">
        <v>1</v>
      </c>
      <c r="BM384">
        <f>(5.4+10.5)/2</f>
        <v>7.95</v>
      </c>
      <c r="BP384">
        <v>12</v>
      </c>
      <c r="BR384" t="s">
        <v>69</v>
      </c>
      <c r="BS384" t="s">
        <v>985</v>
      </c>
      <c r="BU384" t="s">
        <v>986</v>
      </c>
      <c r="BV384">
        <v>37.778210000000001</v>
      </c>
      <c r="BW384">
        <v>0.4037541</v>
      </c>
      <c r="BX384">
        <v>15</v>
      </c>
      <c r="BY384">
        <v>38.825279999999999</v>
      </c>
      <c r="BZ384">
        <v>0.44019720000000001</v>
      </c>
      <c r="CA384">
        <v>15</v>
      </c>
      <c r="CB384" t="s">
        <v>113</v>
      </c>
      <c r="CC384" t="s">
        <v>451</v>
      </c>
    </row>
    <row r="385" spans="1:81" x14ac:dyDescent="0.25">
      <c r="A385" t="s">
        <v>81</v>
      </c>
      <c r="B385">
        <v>384</v>
      </c>
      <c r="C385">
        <v>87</v>
      </c>
      <c r="D385">
        <v>80</v>
      </c>
      <c r="E385">
        <v>76</v>
      </c>
      <c r="F385">
        <v>81</v>
      </c>
      <c r="G385">
        <v>207</v>
      </c>
      <c r="H385">
        <v>308</v>
      </c>
      <c r="I385" t="s">
        <v>322</v>
      </c>
      <c r="J385" t="s">
        <v>338</v>
      </c>
      <c r="L385" t="s">
        <v>975</v>
      </c>
      <c r="M385" t="s">
        <v>85</v>
      </c>
      <c r="O385" t="s">
        <v>14</v>
      </c>
      <c r="P385" t="s">
        <v>976</v>
      </c>
      <c r="Q385" t="s">
        <v>977</v>
      </c>
      <c r="R385">
        <v>2011</v>
      </c>
      <c r="S385" t="s">
        <v>146</v>
      </c>
      <c r="U385" t="s">
        <v>978</v>
      </c>
      <c r="V385" t="s">
        <v>979</v>
      </c>
      <c r="W385" t="s">
        <v>91</v>
      </c>
      <c r="X385" t="s">
        <v>126</v>
      </c>
      <c r="Y385" t="s">
        <v>980</v>
      </c>
      <c r="Z385" t="s">
        <v>981</v>
      </c>
      <c r="AA385" t="s">
        <v>982</v>
      </c>
      <c r="AB385" t="s">
        <v>983</v>
      </c>
      <c r="AC385" t="s">
        <v>984</v>
      </c>
      <c r="AD385" t="s">
        <v>132</v>
      </c>
      <c r="AE385" t="s">
        <v>133</v>
      </c>
      <c r="AF385" t="s">
        <v>100</v>
      </c>
      <c r="AG385" t="s">
        <v>102</v>
      </c>
      <c r="AH385" t="s">
        <v>102</v>
      </c>
      <c r="AI385" t="s">
        <v>134</v>
      </c>
      <c r="AJ385" t="s">
        <v>135</v>
      </c>
      <c r="AM385" t="s">
        <v>136</v>
      </c>
      <c r="AN385" t="s">
        <v>106</v>
      </c>
      <c r="AT385">
        <v>60</v>
      </c>
      <c r="AW385" t="s">
        <v>108</v>
      </c>
      <c r="AX385">
        <v>21</v>
      </c>
      <c r="AY385" t="s">
        <v>103</v>
      </c>
      <c r="AZ385" t="s">
        <v>109</v>
      </c>
      <c r="BA385" t="s">
        <v>110</v>
      </c>
      <c r="BB385">
        <v>22</v>
      </c>
      <c r="BC385">
        <v>25</v>
      </c>
      <c r="BD385">
        <v>1</v>
      </c>
      <c r="BE385" t="s">
        <v>111</v>
      </c>
      <c r="BF385">
        <v>30</v>
      </c>
      <c r="BG385">
        <v>1</v>
      </c>
      <c r="BM385">
        <f>(5.4+10.5)/2</f>
        <v>7.95</v>
      </c>
      <c r="BP385">
        <v>12</v>
      </c>
      <c r="BR385" t="s">
        <v>69</v>
      </c>
      <c r="BS385" t="s">
        <v>985</v>
      </c>
      <c r="BU385" t="s">
        <v>986</v>
      </c>
      <c r="BV385">
        <v>38.825279999999999</v>
      </c>
      <c r="BW385">
        <v>0.44019720000000001</v>
      </c>
      <c r="BX385">
        <v>15</v>
      </c>
      <c r="BY385">
        <v>39.865259999999999</v>
      </c>
      <c r="BZ385">
        <v>0.55395850000000002</v>
      </c>
      <c r="CA385">
        <v>15</v>
      </c>
      <c r="CB385" t="s">
        <v>113</v>
      </c>
      <c r="CC385" t="s">
        <v>451</v>
      </c>
    </row>
    <row r="386" spans="1:81" x14ac:dyDescent="0.25">
      <c r="A386" t="s">
        <v>81</v>
      </c>
      <c r="B386">
        <v>385</v>
      </c>
      <c r="C386">
        <v>87</v>
      </c>
      <c r="D386">
        <v>80</v>
      </c>
      <c r="E386">
        <v>76</v>
      </c>
      <c r="F386">
        <v>81</v>
      </c>
      <c r="G386">
        <v>207</v>
      </c>
      <c r="H386">
        <v>309</v>
      </c>
      <c r="I386" t="s">
        <v>322</v>
      </c>
      <c r="J386" t="s">
        <v>338</v>
      </c>
      <c r="L386" t="s">
        <v>975</v>
      </c>
      <c r="M386" t="s">
        <v>85</v>
      </c>
      <c r="O386" t="s">
        <v>14</v>
      </c>
      <c r="P386" t="s">
        <v>976</v>
      </c>
      <c r="Q386" t="s">
        <v>977</v>
      </c>
      <c r="R386">
        <v>2011</v>
      </c>
      <c r="S386" t="s">
        <v>146</v>
      </c>
      <c r="U386" t="s">
        <v>978</v>
      </c>
      <c r="V386" t="s">
        <v>979</v>
      </c>
      <c r="W386" t="s">
        <v>91</v>
      </c>
      <c r="X386" t="s">
        <v>126</v>
      </c>
      <c r="Y386" t="s">
        <v>980</v>
      </c>
      <c r="Z386" t="s">
        <v>981</v>
      </c>
      <c r="AA386" t="s">
        <v>982</v>
      </c>
      <c r="AB386" t="s">
        <v>983</v>
      </c>
      <c r="AC386" t="s">
        <v>984</v>
      </c>
      <c r="AD386" t="s">
        <v>132</v>
      </c>
      <c r="AE386" t="s">
        <v>133</v>
      </c>
      <c r="AF386" t="s">
        <v>100</v>
      </c>
      <c r="AG386" t="s">
        <v>102</v>
      </c>
      <c r="AH386" t="s">
        <v>102</v>
      </c>
      <c r="AI386" t="s">
        <v>134</v>
      </c>
      <c r="AJ386" t="s">
        <v>135</v>
      </c>
      <c r="AM386" t="s">
        <v>136</v>
      </c>
      <c r="AN386" t="s">
        <v>106</v>
      </c>
      <c r="AT386">
        <v>60</v>
      </c>
      <c r="AW386" t="s">
        <v>108</v>
      </c>
      <c r="AX386">
        <v>21</v>
      </c>
      <c r="AY386" t="s">
        <v>103</v>
      </c>
      <c r="AZ386" t="s">
        <v>109</v>
      </c>
      <c r="BA386" t="s">
        <v>110</v>
      </c>
      <c r="BB386">
        <v>25</v>
      </c>
      <c r="BC386">
        <v>28</v>
      </c>
      <c r="BD386">
        <v>1</v>
      </c>
      <c r="BE386" t="s">
        <v>111</v>
      </c>
      <c r="BF386">
        <v>30</v>
      </c>
      <c r="BG386">
        <v>1</v>
      </c>
      <c r="BM386">
        <f>(5.4+10.5)/2</f>
        <v>7.95</v>
      </c>
      <c r="BP386">
        <v>12</v>
      </c>
      <c r="BR386" t="s">
        <v>69</v>
      </c>
      <c r="BS386" t="s">
        <v>985</v>
      </c>
      <c r="BU386" t="s">
        <v>986</v>
      </c>
      <c r="BV386">
        <v>39.865259999999999</v>
      </c>
      <c r="BW386">
        <v>0.55395850000000002</v>
      </c>
      <c r="BX386">
        <v>15</v>
      </c>
      <c r="BY386">
        <v>40.721589999999999</v>
      </c>
      <c r="BZ386">
        <v>0.44511420000000002</v>
      </c>
      <c r="CA386">
        <v>15</v>
      </c>
      <c r="CB386" t="s">
        <v>113</v>
      </c>
      <c r="CC386" t="s">
        <v>451</v>
      </c>
    </row>
    <row r="387" spans="1:81" x14ac:dyDescent="0.25">
      <c r="A387" t="s">
        <v>81</v>
      </c>
      <c r="B387">
        <v>386</v>
      </c>
      <c r="C387">
        <v>87</v>
      </c>
      <c r="D387">
        <v>80</v>
      </c>
      <c r="E387">
        <v>76</v>
      </c>
      <c r="F387">
        <v>81</v>
      </c>
      <c r="G387">
        <v>207</v>
      </c>
      <c r="H387">
        <v>310</v>
      </c>
      <c r="I387" t="s">
        <v>322</v>
      </c>
      <c r="J387" t="s">
        <v>338</v>
      </c>
      <c r="L387" t="s">
        <v>975</v>
      </c>
      <c r="M387" t="s">
        <v>85</v>
      </c>
      <c r="O387" t="s">
        <v>14</v>
      </c>
      <c r="P387" t="s">
        <v>976</v>
      </c>
      <c r="Q387" t="s">
        <v>977</v>
      </c>
      <c r="R387">
        <v>2011</v>
      </c>
      <c r="S387" t="s">
        <v>146</v>
      </c>
      <c r="U387" t="s">
        <v>978</v>
      </c>
      <c r="V387" t="s">
        <v>979</v>
      </c>
      <c r="W387" t="s">
        <v>91</v>
      </c>
      <c r="X387" t="s">
        <v>126</v>
      </c>
      <c r="Y387" t="s">
        <v>980</v>
      </c>
      <c r="Z387" t="s">
        <v>981</v>
      </c>
      <c r="AA387" t="s">
        <v>982</v>
      </c>
      <c r="AB387" t="s">
        <v>983</v>
      </c>
      <c r="AC387" t="s">
        <v>984</v>
      </c>
      <c r="AD387" t="s">
        <v>132</v>
      </c>
      <c r="AE387" t="s">
        <v>133</v>
      </c>
      <c r="AF387" t="s">
        <v>100</v>
      </c>
      <c r="AG387" t="s">
        <v>102</v>
      </c>
      <c r="AH387" t="s">
        <v>102</v>
      </c>
      <c r="AI387" t="s">
        <v>134</v>
      </c>
      <c r="AJ387" t="s">
        <v>135</v>
      </c>
      <c r="AM387" t="s">
        <v>136</v>
      </c>
      <c r="AN387" t="s">
        <v>106</v>
      </c>
      <c r="AT387">
        <v>60</v>
      </c>
      <c r="AW387" t="s">
        <v>108</v>
      </c>
      <c r="AX387">
        <v>21</v>
      </c>
      <c r="AY387" t="s">
        <v>103</v>
      </c>
      <c r="AZ387" t="s">
        <v>109</v>
      </c>
      <c r="BA387" t="s">
        <v>110</v>
      </c>
      <c r="BB387">
        <v>28</v>
      </c>
      <c r="BC387">
        <v>31</v>
      </c>
      <c r="BD387">
        <v>1</v>
      </c>
      <c r="BE387" t="s">
        <v>111</v>
      </c>
      <c r="BF387">
        <v>30</v>
      </c>
      <c r="BG387">
        <v>1</v>
      </c>
      <c r="BM387">
        <f>(5.4+10.5)/2</f>
        <v>7.95</v>
      </c>
      <c r="BP387">
        <v>12</v>
      </c>
      <c r="BR387" t="s">
        <v>69</v>
      </c>
      <c r="BS387" t="s">
        <v>985</v>
      </c>
      <c r="BU387" t="s">
        <v>986</v>
      </c>
      <c r="BV387">
        <v>40.721589999999999</v>
      </c>
      <c r="BW387">
        <v>0.44511420000000002</v>
      </c>
      <c r="BX387">
        <v>15</v>
      </c>
      <c r="BY387">
        <v>41.300930000000001</v>
      </c>
      <c r="BZ387">
        <v>0.4695165</v>
      </c>
      <c r="CA387">
        <v>15</v>
      </c>
      <c r="CB387" t="s">
        <v>113</v>
      </c>
      <c r="CC387" t="s">
        <v>451</v>
      </c>
    </row>
    <row r="388" spans="1:81" x14ac:dyDescent="0.25">
      <c r="A388" t="s">
        <v>81</v>
      </c>
      <c r="B388">
        <v>387</v>
      </c>
      <c r="C388">
        <v>91</v>
      </c>
      <c r="D388">
        <v>84</v>
      </c>
      <c r="E388">
        <v>77</v>
      </c>
      <c r="F388">
        <v>82</v>
      </c>
      <c r="G388">
        <v>208</v>
      </c>
      <c r="H388">
        <v>311</v>
      </c>
      <c r="J388" t="s">
        <v>143</v>
      </c>
      <c r="M388" t="s">
        <v>85</v>
      </c>
      <c r="O388" t="s">
        <v>14</v>
      </c>
      <c r="P388" t="s">
        <v>987</v>
      </c>
      <c r="Q388" t="s">
        <v>988</v>
      </c>
      <c r="R388">
        <v>2021</v>
      </c>
      <c r="S388" t="s">
        <v>146</v>
      </c>
      <c r="U388" t="s">
        <v>989</v>
      </c>
      <c r="V388" t="s">
        <v>990</v>
      </c>
      <c r="W388" t="s">
        <v>91</v>
      </c>
      <c r="X388" t="s">
        <v>126</v>
      </c>
      <c r="Y388" t="s">
        <v>939</v>
      </c>
      <c r="Z388" t="s">
        <v>991</v>
      </c>
      <c r="AA388" t="s">
        <v>992</v>
      </c>
      <c r="AB388" t="s">
        <v>993</v>
      </c>
      <c r="AC388" t="s">
        <v>994</v>
      </c>
      <c r="AD388" t="s">
        <v>132</v>
      </c>
      <c r="AE388" t="s">
        <v>133</v>
      </c>
      <c r="AF388" t="s">
        <v>100</v>
      </c>
      <c r="AG388" t="s">
        <v>102</v>
      </c>
      <c r="AH388" t="s">
        <v>102</v>
      </c>
      <c r="AI388" t="s">
        <v>134</v>
      </c>
      <c r="AJ388" t="s">
        <v>135</v>
      </c>
      <c r="AM388" t="s">
        <v>136</v>
      </c>
      <c r="AN388" t="s">
        <v>137</v>
      </c>
      <c r="AO388">
        <v>34.299999999999997</v>
      </c>
      <c r="AP388">
        <v>132.4</v>
      </c>
      <c r="AQ388">
        <v>0</v>
      </c>
      <c r="AT388">
        <f>(27.3+29.7)/2</f>
        <v>28.5</v>
      </c>
      <c r="AV388">
        <v>107</v>
      </c>
      <c r="AW388" t="s">
        <v>108</v>
      </c>
      <c r="AX388">
        <f>(11+15)/2</f>
        <v>13</v>
      </c>
      <c r="AY388" t="s">
        <v>103</v>
      </c>
      <c r="AZ388" t="s">
        <v>109</v>
      </c>
      <c r="BA388" t="s">
        <v>142</v>
      </c>
      <c r="BB388">
        <v>12.1</v>
      </c>
      <c r="BC388">
        <v>23.8</v>
      </c>
      <c r="BD388">
        <f>(0.58+0.12)/2</f>
        <v>0.35</v>
      </c>
      <c r="BE388" t="s">
        <v>139</v>
      </c>
      <c r="BF388">
        <v>13</v>
      </c>
      <c r="BG388">
        <f>0.5/60</f>
        <v>8.3333333333333332E-3</v>
      </c>
      <c r="BU388" t="s">
        <v>995</v>
      </c>
      <c r="BV388">
        <v>29.32</v>
      </c>
      <c r="BW388">
        <v>0.41</v>
      </c>
      <c r="BX388">
        <v>10</v>
      </c>
      <c r="BY388">
        <v>30.53</v>
      </c>
      <c r="BZ388">
        <v>0.56999999999999995</v>
      </c>
      <c r="CA388">
        <v>10</v>
      </c>
      <c r="CB388" t="s">
        <v>113</v>
      </c>
      <c r="CC388" t="s">
        <v>996</v>
      </c>
    </row>
    <row r="389" spans="1:81" x14ac:dyDescent="0.25">
      <c r="A389" t="s">
        <v>81</v>
      </c>
      <c r="B389">
        <v>388</v>
      </c>
      <c r="C389">
        <v>91</v>
      </c>
      <c r="D389">
        <v>84</v>
      </c>
      <c r="E389">
        <v>77</v>
      </c>
      <c r="F389">
        <v>82</v>
      </c>
      <c r="G389">
        <v>209</v>
      </c>
      <c r="H389">
        <v>312</v>
      </c>
      <c r="J389" t="s">
        <v>338</v>
      </c>
      <c r="L389" t="s">
        <v>997</v>
      </c>
      <c r="M389" t="s">
        <v>85</v>
      </c>
      <c r="O389" t="s">
        <v>14</v>
      </c>
      <c r="P389" t="s">
        <v>987</v>
      </c>
      <c r="Q389" t="s">
        <v>988</v>
      </c>
      <c r="R389">
        <v>2021</v>
      </c>
      <c r="S389" t="s">
        <v>146</v>
      </c>
      <c r="U389" t="s">
        <v>989</v>
      </c>
      <c r="V389" t="s">
        <v>990</v>
      </c>
      <c r="W389" t="s">
        <v>91</v>
      </c>
      <c r="X389" t="s">
        <v>126</v>
      </c>
      <c r="Y389" t="s">
        <v>939</v>
      </c>
      <c r="Z389" t="s">
        <v>991</v>
      </c>
      <c r="AA389" t="s">
        <v>992</v>
      </c>
      <c r="AB389" t="s">
        <v>993</v>
      </c>
      <c r="AC389" t="s">
        <v>994</v>
      </c>
      <c r="AD389" t="s">
        <v>132</v>
      </c>
      <c r="AE389" t="s">
        <v>133</v>
      </c>
      <c r="AF389" t="s">
        <v>100</v>
      </c>
      <c r="AG389" t="s">
        <v>102</v>
      </c>
      <c r="AH389" t="s">
        <v>102</v>
      </c>
      <c r="AI389" t="s">
        <v>134</v>
      </c>
      <c r="AJ389" t="s">
        <v>135</v>
      </c>
      <c r="AM389" t="s">
        <v>136</v>
      </c>
      <c r="AN389" t="s">
        <v>137</v>
      </c>
      <c r="AO389">
        <v>34.299999999999997</v>
      </c>
      <c r="AP389">
        <v>132.4</v>
      </c>
      <c r="AQ389">
        <v>0</v>
      </c>
      <c r="AT389">
        <f>(27.8+29.4)/2</f>
        <v>28.6</v>
      </c>
      <c r="AV389">
        <v>107</v>
      </c>
      <c r="AW389" t="s">
        <v>108</v>
      </c>
      <c r="AX389">
        <f>(11+15)/2</f>
        <v>13</v>
      </c>
      <c r="AY389" t="s">
        <v>103</v>
      </c>
      <c r="AZ389" t="s">
        <v>212</v>
      </c>
      <c r="BA389" t="s">
        <v>142</v>
      </c>
      <c r="BB389">
        <v>12.1</v>
      </c>
      <c r="BC389">
        <v>23.8</v>
      </c>
      <c r="BD389">
        <f>(0.58+0.12)/2</f>
        <v>0.35</v>
      </c>
      <c r="BE389" t="s">
        <v>139</v>
      </c>
      <c r="BF389">
        <v>13.5</v>
      </c>
      <c r="BH389">
        <v>24</v>
      </c>
      <c r="BI389">
        <v>4</v>
      </c>
      <c r="BJ389">
        <v>1</v>
      </c>
      <c r="BK389">
        <v>10</v>
      </c>
      <c r="BT389" t="s">
        <v>998</v>
      </c>
      <c r="BU389" t="s">
        <v>999</v>
      </c>
      <c r="BV389">
        <v>26.56475</v>
      </c>
      <c r="BW389">
        <v>0.1077211</v>
      </c>
      <c r="BX389">
        <v>4</v>
      </c>
      <c r="BY389">
        <v>29</v>
      </c>
      <c r="BZ389" t="s">
        <v>454</v>
      </c>
      <c r="CA389">
        <v>4</v>
      </c>
      <c r="CB389" t="s">
        <v>113</v>
      </c>
      <c r="CC389" t="s">
        <v>1000</v>
      </c>
    </row>
    <row r="390" spans="1:81" x14ac:dyDescent="0.25">
      <c r="A390" t="s">
        <v>81</v>
      </c>
      <c r="B390">
        <v>389</v>
      </c>
      <c r="C390">
        <v>92</v>
      </c>
      <c r="D390">
        <v>85</v>
      </c>
      <c r="E390">
        <v>78</v>
      </c>
      <c r="F390">
        <v>83</v>
      </c>
      <c r="G390">
        <v>210</v>
      </c>
      <c r="H390">
        <v>313</v>
      </c>
      <c r="J390" t="s">
        <v>83</v>
      </c>
      <c r="K390" s="3" t="s">
        <v>1001</v>
      </c>
      <c r="M390" t="s">
        <v>85</v>
      </c>
      <c r="O390" t="s">
        <v>14</v>
      </c>
      <c r="P390" t="s">
        <v>1002</v>
      </c>
      <c r="Q390" t="s">
        <v>1003</v>
      </c>
      <c r="R390">
        <v>2017</v>
      </c>
      <c r="S390" t="s">
        <v>158</v>
      </c>
      <c r="U390" t="s">
        <v>1004</v>
      </c>
      <c r="V390" t="s">
        <v>1005</v>
      </c>
      <c r="W390" t="s">
        <v>170</v>
      </c>
      <c r="X390" t="s">
        <v>171</v>
      </c>
      <c r="Y390" t="s">
        <v>1006</v>
      </c>
      <c r="Z390" t="s">
        <v>1007</v>
      </c>
      <c r="AA390" t="s">
        <v>1008</v>
      </c>
      <c r="AB390" t="s">
        <v>1009</v>
      </c>
      <c r="AC390" t="s">
        <v>1010</v>
      </c>
      <c r="AD390" t="s">
        <v>98</v>
      </c>
      <c r="AE390" t="s">
        <v>177</v>
      </c>
      <c r="AF390" t="s">
        <v>100</v>
      </c>
      <c r="AG390" t="s">
        <v>261</v>
      </c>
      <c r="AH390" t="s">
        <v>262</v>
      </c>
      <c r="AI390" t="s">
        <v>103</v>
      </c>
      <c r="AJ390" t="s">
        <v>104</v>
      </c>
      <c r="AK390">
        <v>9</v>
      </c>
      <c r="AL390">
        <v>19</v>
      </c>
      <c r="AM390" t="s">
        <v>263</v>
      </c>
      <c r="AN390" t="s">
        <v>106</v>
      </c>
      <c r="AS390">
        <v>2013</v>
      </c>
      <c r="AV390">
        <v>9</v>
      </c>
      <c r="AW390" t="s">
        <v>269</v>
      </c>
      <c r="AX390">
        <v>25</v>
      </c>
      <c r="AY390" t="s">
        <v>134</v>
      </c>
      <c r="AZ390" t="s">
        <v>109</v>
      </c>
      <c r="BA390" t="s">
        <v>180</v>
      </c>
      <c r="BB390">
        <v>19</v>
      </c>
      <c r="BC390">
        <v>23</v>
      </c>
      <c r="BD390">
        <v>4</v>
      </c>
      <c r="BE390" t="s">
        <v>111</v>
      </c>
      <c r="BG390">
        <v>0.1</v>
      </c>
      <c r="BP390">
        <v>12</v>
      </c>
      <c r="BU390" t="s">
        <v>1011</v>
      </c>
      <c r="BV390">
        <v>39.787999999999997</v>
      </c>
      <c r="BW390">
        <v>0.33779680000000001</v>
      </c>
      <c r="BX390">
        <v>10</v>
      </c>
      <c r="BY390">
        <v>39.646000000000001</v>
      </c>
      <c r="BZ390">
        <v>0.47171550000000001</v>
      </c>
      <c r="CA390">
        <v>10</v>
      </c>
      <c r="CB390" t="s">
        <v>113</v>
      </c>
      <c r="CC390" t="s">
        <v>920</v>
      </c>
    </row>
    <row r="391" spans="1:81" x14ac:dyDescent="0.25">
      <c r="A391" t="s">
        <v>81</v>
      </c>
      <c r="B391">
        <v>390</v>
      </c>
      <c r="C391">
        <v>92</v>
      </c>
      <c r="D391">
        <v>85</v>
      </c>
      <c r="E391">
        <v>78</v>
      </c>
      <c r="F391">
        <v>83</v>
      </c>
      <c r="G391">
        <v>211</v>
      </c>
      <c r="H391">
        <v>314</v>
      </c>
      <c r="J391" t="s">
        <v>83</v>
      </c>
      <c r="K391" s="3" t="s">
        <v>1001</v>
      </c>
      <c r="M391" t="s">
        <v>85</v>
      </c>
      <c r="O391" t="s">
        <v>14</v>
      </c>
      <c r="P391" t="s">
        <v>1002</v>
      </c>
      <c r="Q391" t="s">
        <v>1003</v>
      </c>
      <c r="R391">
        <v>2017</v>
      </c>
      <c r="S391" t="s">
        <v>158</v>
      </c>
      <c r="U391" t="s">
        <v>1004</v>
      </c>
      <c r="V391" t="s">
        <v>1005</v>
      </c>
      <c r="W391" t="s">
        <v>170</v>
      </c>
      <c r="X391" t="s">
        <v>171</v>
      </c>
      <c r="Y391" t="s">
        <v>1006</v>
      </c>
      <c r="Z391" t="s">
        <v>1007</v>
      </c>
      <c r="AA391" t="s">
        <v>1008</v>
      </c>
      <c r="AB391" t="s">
        <v>1009</v>
      </c>
      <c r="AC391" t="s">
        <v>1010</v>
      </c>
      <c r="AD391" t="s">
        <v>98</v>
      </c>
      <c r="AE391" t="s">
        <v>177</v>
      </c>
      <c r="AF391" t="s">
        <v>100</v>
      </c>
      <c r="AG391" t="s">
        <v>261</v>
      </c>
      <c r="AH391" t="s">
        <v>262</v>
      </c>
      <c r="AI391" t="s">
        <v>103</v>
      </c>
      <c r="AJ391" t="s">
        <v>104</v>
      </c>
      <c r="AK391">
        <v>9</v>
      </c>
      <c r="AL391">
        <v>19</v>
      </c>
      <c r="AM391" t="s">
        <v>263</v>
      </c>
      <c r="AN391" t="s">
        <v>106</v>
      </c>
      <c r="AS391">
        <v>2013</v>
      </c>
      <c r="AV391">
        <v>9</v>
      </c>
      <c r="AW391" t="s">
        <v>269</v>
      </c>
      <c r="AX391">
        <v>25</v>
      </c>
      <c r="AY391" t="s">
        <v>134</v>
      </c>
      <c r="AZ391" t="s">
        <v>109</v>
      </c>
      <c r="BA391" t="s">
        <v>180</v>
      </c>
      <c r="BB391">
        <v>19</v>
      </c>
      <c r="BC391">
        <v>23</v>
      </c>
      <c r="BD391">
        <v>8</v>
      </c>
      <c r="BE391" t="s">
        <v>111</v>
      </c>
      <c r="BG391">
        <v>0.1</v>
      </c>
      <c r="BP391">
        <v>12</v>
      </c>
      <c r="BU391" t="s">
        <v>1012</v>
      </c>
      <c r="BV391">
        <v>40.165329999999997</v>
      </c>
      <c r="BW391">
        <v>0.41312169999999998</v>
      </c>
      <c r="BX391">
        <v>15</v>
      </c>
      <c r="BY391">
        <v>40.936</v>
      </c>
      <c r="BZ391">
        <v>0.38006430000000002</v>
      </c>
      <c r="CA391">
        <v>10</v>
      </c>
      <c r="CB391" t="s">
        <v>113</v>
      </c>
      <c r="CC391" t="s">
        <v>920</v>
      </c>
    </row>
    <row r="392" spans="1:81" x14ac:dyDescent="0.25">
      <c r="A392" t="s">
        <v>81</v>
      </c>
      <c r="B392">
        <v>391</v>
      </c>
      <c r="C392">
        <v>92</v>
      </c>
      <c r="D392">
        <v>85</v>
      </c>
      <c r="E392">
        <v>78</v>
      </c>
      <c r="F392">
        <v>83</v>
      </c>
      <c r="G392">
        <v>212</v>
      </c>
      <c r="H392">
        <v>315</v>
      </c>
      <c r="J392" t="s">
        <v>83</v>
      </c>
      <c r="K392" s="3" t="s">
        <v>1001</v>
      </c>
      <c r="M392" t="s">
        <v>85</v>
      </c>
      <c r="O392" t="s">
        <v>14</v>
      </c>
      <c r="P392" t="s">
        <v>1002</v>
      </c>
      <c r="Q392" t="s">
        <v>1003</v>
      </c>
      <c r="R392">
        <v>2017</v>
      </c>
      <c r="S392" t="s">
        <v>158</v>
      </c>
      <c r="U392" t="s">
        <v>1004</v>
      </c>
      <c r="V392" t="s">
        <v>1005</v>
      </c>
      <c r="W392" t="s">
        <v>170</v>
      </c>
      <c r="X392" t="s">
        <v>171</v>
      </c>
      <c r="Y392" t="s">
        <v>1006</v>
      </c>
      <c r="Z392" t="s">
        <v>1007</v>
      </c>
      <c r="AA392" t="s">
        <v>1008</v>
      </c>
      <c r="AB392" t="s">
        <v>1009</v>
      </c>
      <c r="AC392" t="s">
        <v>1010</v>
      </c>
      <c r="AD392" t="s">
        <v>98</v>
      </c>
      <c r="AE392" t="s">
        <v>177</v>
      </c>
      <c r="AF392" t="s">
        <v>100</v>
      </c>
      <c r="AG392" t="s">
        <v>261</v>
      </c>
      <c r="AH392" t="s">
        <v>262</v>
      </c>
      <c r="AI392" t="s">
        <v>103</v>
      </c>
      <c r="AJ392" t="s">
        <v>104</v>
      </c>
      <c r="AK392">
        <v>9</v>
      </c>
      <c r="AL392">
        <v>23</v>
      </c>
      <c r="AM392" t="s">
        <v>263</v>
      </c>
      <c r="AN392" t="s">
        <v>106</v>
      </c>
      <c r="AS392">
        <v>2013</v>
      </c>
      <c r="AV392">
        <v>9</v>
      </c>
      <c r="AW392" t="s">
        <v>269</v>
      </c>
      <c r="AX392">
        <v>25</v>
      </c>
      <c r="AY392" t="s">
        <v>134</v>
      </c>
      <c r="AZ392" t="s">
        <v>109</v>
      </c>
      <c r="BA392" t="s">
        <v>180</v>
      </c>
      <c r="BB392">
        <v>19</v>
      </c>
      <c r="BC392">
        <v>23</v>
      </c>
      <c r="BD392">
        <v>4</v>
      </c>
      <c r="BE392" t="s">
        <v>111</v>
      </c>
      <c r="BG392">
        <v>0.1</v>
      </c>
      <c r="BP392">
        <v>12</v>
      </c>
      <c r="BU392" t="s">
        <v>1013</v>
      </c>
      <c r="BV392">
        <v>40.015000000000001</v>
      </c>
      <c r="BW392">
        <v>8.5146899999999998E-2</v>
      </c>
      <c r="BX392">
        <v>10</v>
      </c>
      <c r="BY392">
        <v>39.808999999999997</v>
      </c>
      <c r="BZ392">
        <v>0.33477849999999998</v>
      </c>
      <c r="CA392">
        <v>10</v>
      </c>
      <c r="CB392" t="s">
        <v>113</v>
      </c>
      <c r="CC392" t="s">
        <v>920</v>
      </c>
    </row>
    <row r="393" spans="1:81" x14ac:dyDescent="0.25">
      <c r="A393" t="s">
        <v>81</v>
      </c>
      <c r="B393">
        <v>392</v>
      </c>
      <c r="C393">
        <v>92</v>
      </c>
      <c r="D393">
        <v>85</v>
      </c>
      <c r="E393">
        <v>78</v>
      </c>
      <c r="F393">
        <v>83</v>
      </c>
      <c r="G393">
        <v>213</v>
      </c>
      <c r="H393">
        <v>316</v>
      </c>
      <c r="J393" t="s">
        <v>83</v>
      </c>
      <c r="K393" s="3" t="s">
        <v>1001</v>
      </c>
      <c r="M393" t="s">
        <v>85</v>
      </c>
      <c r="O393" t="s">
        <v>14</v>
      </c>
      <c r="P393" t="s">
        <v>1002</v>
      </c>
      <c r="Q393" t="s">
        <v>1003</v>
      </c>
      <c r="R393">
        <v>2017</v>
      </c>
      <c r="S393" t="s">
        <v>158</v>
      </c>
      <c r="U393" t="s">
        <v>1004</v>
      </c>
      <c r="V393" t="s">
        <v>1005</v>
      </c>
      <c r="W393" t="s">
        <v>170</v>
      </c>
      <c r="X393" t="s">
        <v>171</v>
      </c>
      <c r="Y393" t="s">
        <v>1006</v>
      </c>
      <c r="Z393" t="s">
        <v>1007</v>
      </c>
      <c r="AA393" t="s">
        <v>1008</v>
      </c>
      <c r="AB393" t="s">
        <v>1009</v>
      </c>
      <c r="AC393" t="s">
        <v>1010</v>
      </c>
      <c r="AD393" t="s">
        <v>98</v>
      </c>
      <c r="AE393" t="s">
        <v>177</v>
      </c>
      <c r="AF393" t="s">
        <v>100</v>
      </c>
      <c r="AG393" t="s">
        <v>261</v>
      </c>
      <c r="AH393" t="s">
        <v>262</v>
      </c>
      <c r="AI393" t="s">
        <v>103</v>
      </c>
      <c r="AJ393" t="s">
        <v>104</v>
      </c>
      <c r="AK393">
        <v>9</v>
      </c>
      <c r="AL393">
        <v>23</v>
      </c>
      <c r="AM393" t="s">
        <v>263</v>
      </c>
      <c r="AN393" t="s">
        <v>106</v>
      </c>
      <c r="AS393">
        <v>2013</v>
      </c>
      <c r="AV393">
        <v>9</v>
      </c>
      <c r="AW393" t="s">
        <v>269</v>
      </c>
      <c r="AX393">
        <v>25</v>
      </c>
      <c r="AY393" t="s">
        <v>134</v>
      </c>
      <c r="AZ393" t="s">
        <v>109</v>
      </c>
      <c r="BA393" t="s">
        <v>180</v>
      </c>
      <c r="BB393">
        <v>19</v>
      </c>
      <c r="BC393">
        <v>23</v>
      </c>
      <c r="BD393">
        <v>8</v>
      </c>
      <c r="BE393" t="s">
        <v>111</v>
      </c>
      <c r="BG393">
        <v>0.1</v>
      </c>
      <c r="BP393">
        <v>12</v>
      </c>
      <c r="BU393" t="s">
        <v>1014</v>
      </c>
      <c r="BV393">
        <v>40.44867</v>
      </c>
      <c r="BW393">
        <v>0.15505150000000001</v>
      </c>
      <c r="BX393">
        <v>15</v>
      </c>
      <c r="BY393">
        <v>41.085999999999999</v>
      </c>
      <c r="BZ393">
        <v>0.439803</v>
      </c>
      <c r="CA393">
        <v>10</v>
      </c>
      <c r="CB393" t="s">
        <v>113</v>
      </c>
      <c r="CC393" t="s">
        <v>920</v>
      </c>
    </row>
    <row r="394" spans="1:81" x14ac:dyDescent="0.25">
      <c r="A394" t="s">
        <v>81</v>
      </c>
      <c r="B394">
        <v>393</v>
      </c>
      <c r="C394">
        <v>93</v>
      </c>
      <c r="D394">
        <v>86</v>
      </c>
      <c r="E394">
        <v>79</v>
      </c>
      <c r="F394">
        <v>84</v>
      </c>
      <c r="G394">
        <v>214</v>
      </c>
      <c r="H394">
        <v>317</v>
      </c>
      <c r="I394" t="s">
        <v>322</v>
      </c>
      <c r="J394" t="s">
        <v>83</v>
      </c>
      <c r="K394" s="3" t="s">
        <v>1015</v>
      </c>
      <c r="M394" t="s">
        <v>85</v>
      </c>
      <c r="O394" t="s">
        <v>14</v>
      </c>
      <c r="P394" t="s">
        <v>1016</v>
      </c>
      <c r="Q394" t="s">
        <v>1017</v>
      </c>
      <c r="R394">
        <v>2019</v>
      </c>
      <c r="S394" t="s">
        <v>1018</v>
      </c>
      <c r="U394" t="s">
        <v>1019</v>
      </c>
      <c r="V394" t="s">
        <v>1020</v>
      </c>
      <c r="W394" t="s">
        <v>91</v>
      </c>
      <c r="X394" t="s">
        <v>126</v>
      </c>
      <c r="Y394" t="s">
        <v>127</v>
      </c>
      <c r="Z394" t="s">
        <v>128</v>
      </c>
      <c r="AA394" t="s">
        <v>1021</v>
      </c>
      <c r="AB394" t="s">
        <v>1022</v>
      </c>
      <c r="AC394" t="s">
        <v>1023</v>
      </c>
      <c r="AD394" t="s">
        <v>132</v>
      </c>
      <c r="AE394" t="s">
        <v>133</v>
      </c>
      <c r="AF394" t="s">
        <v>100</v>
      </c>
      <c r="AG394" t="s">
        <v>102</v>
      </c>
      <c r="AH394" t="s">
        <v>102</v>
      </c>
      <c r="AI394" t="s">
        <v>134</v>
      </c>
      <c r="AJ394" t="s">
        <v>135</v>
      </c>
      <c r="AM394" t="s">
        <v>136</v>
      </c>
      <c r="AN394" t="s">
        <v>106</v>
      </c>
      <c r="AV394">
        <v>55</v>
      </c>
      <c r="AW394" t="s">
        <v>108</v>
      </c>
      <c r="AX394">
        <v>25</v>
      </c>
      <c r="AY394" t="s">
        <v>134</v>
      </c>
      <c r="AZ394" t="s">
        <v>109</v>
      </c>
      <c r="BA394" t="s">
        <v>138</v>
      </c>
      <c r="BB394">
        <v>23.5</v>
      </c>
      <c r="BC394">
        <v>25</v>
      </c>
      <c r="BD394">
        <v>0.2</v>
      </c>
      <c r="BE394" t="s">
        <v>139</v>
      </c>
      <c r="BF394">
        <v>53</v>
      </c>
      <c r="BG394">
        <f>1/2</f>
        <v>0.5</v>
      </c>
      <c r="BS394" t="s">
        <v>515</v>
      </c>
      <c r="BU394" t="s">
        <v>1024</v>
      </c>
      <c r="BV394">
        <v>35.571429999999999</v>
      </c>
      <c r="BW394">
        <v>1.6357611000000001</v>
      </c>
      <c r="BX394">
        <v>7</v>
      </c>
      <c r="BY394">
        <v>37.141669999999998</v>
      </c>
      <c r="BZ394">
        <v>0.63167649999999997</v>
      </c>
      <c r="CA394">
        <v>12</v>
      </c>
      <c r="CB394" t="s">
        <v>113</v>
      </c>
      <c r="CC394" t="s">
        <v>1025</v>
      </c>
    </row>
    <row r="395" spans="1:81" x14ac:dyDescent="0.25">
      <c r="A395" t="s">
        <v>81</v>
      </c>
      <c r="B395">
        <v>394</v>
      </c>
      <c r="C395">
        <v>93</v>
      </c>
      <c r="D395">
        <v>86</v>
      </c>
      <c r="E395">
        <v>79</v>
      </c>
      <c r="F395">
        <v>84</v>
      </c>
      <c r="G395">
        <v>214</v>
      </c>
      <c r="H395">
        <v>318</v>
      </c>
      <c r="I395" t="s">
        <v>322</v>
      </c>
      <c r="J395" t="s">
        <v>83</v>
      </c>
      <c r="K395" s="3" t="s">
        <v>1015</v>
      </c>
      <c r="M395" t="s">
        <v>85</v>
      </c>
      <c r="O395" t="s">
        <v>14</v>
      </c>
      <c r="P395" t="s">
        <v>1016</v>
      </c>
      <c r="Q395" t="s">
        <v>1017</v>
      </c>
      <c r="R395">
        <v>2019</v>
      </c>
      <c r="S395" t="s">
        <v>1018</v>
      </c>
      <c r="U395" t="s">
        <v>1019</v>
      </c>
      <c r="V395" t="s">
        <v>1020</v>
      </c>
      <c r="W395" t="s">
        <v>91</v>
      </c>
      <c r="X395" t="s">
        <v>126</v>
      </c>
      <c r="Y395" t="s">
        <v>127</v>
      </c>
      <c r="Z395" t="s">
        <v>128</v>
      </c>
      <c r="AA395" t="s">
        <v>1021</v>
      </c>
      <c r="AB395" t="s">
        <v>1022</v>
      </c>
      <c r="AC395" t="s">
        <v>1023</v>
      </c>
      <c r="AD395" t="s">
        <v>132</v>
      </c>
      <c r="AE395" t="s">
        <v>133</v>
      </c>
      <c r="AF395" t="s">
        <v>100</v>
      </c>
      <c r="AG395" t="s">
        <v>102</v>
      </c>
      <c r="AH395" t="s">
        <v>102</v>
      </c>
      <c r="AI395" t="s">
        <v>134</v>
      </c>
      <c r="AJ395" t="s">
        <v>135</v>
      </c>
      <c r="AM395" t="s">
        <v>136</v>
      </c>
      <c r="AN395" t="s">
        <v>106</v>
      </c>
      <c r="AV395">
        <v>55</v>
      </c>
      <c r="AW395" t="s">
        <v>108</v>
      </c>
      <c r="AX395">
        <v>25</v>
      </c>
      <c r="AY395" t="s">
        <v>134</v>
      </c>
      <c r="AZ395" t="s">
        <v>109</v>
      </c>
      <c r="BA395" t="s">
        <v>138</v>
      </c>
      <c r="BB395">
        <v>25</v>
      </c>
      <c r="BC395">
        <v>28.5</v>
      </c>
      <c r="BD395">
        <v>0.2</v>
      </c>
      <c r="BE395" t="s">
        <v>139</v>
      </c>
      <c r="BF395">
        <v>53</v>
      </c>
      <c r="BG395">
        <f>1/2</f>
        <v>0.5</v>
      </c>
      <c r="BS395" t="s">
        <v>515</v>
      </c>
      <c r="BU395" t="s">
        <v>1024</v>
      </c>
      <c r="BV395">
        <v>37.141669999999998</v>
      </c>
      <c r="BW395">
        <v>0.63167649999999997</v>
      </c>
      <c r="BX395">
        <v>12</v>
      </c>
      <c r="BY395">
        <v>39.342860000000002</v>
      </c>
      <c r="BZ395">
        <v>0.46692820000000002</v>
      </c>
      <c r="CA395">
        <v>14</v>
      </c>
      <c r="CB395" t="s">
        <v>113</v>
      </c>
      <c r="CC395" t="s">
        <v>1025</v>
      </c>
    </row>
    <row r="396" spans="1:81" x14ac:dyDescent="0.25">
      <c r="A396" t="s">
        <v>81</v>
      </c>
      <c r="B396">
        <v>395</v>
      </c>
      <c r="C396">
        <v>93</v>
      </c>
      <c r="D396">
        <v>86</v>
      </c>
      <c r="E396">
        <v>79</v>
      </c>
      <c r="F396">
        <v>84</v>
      </c>
      <c r="G396">
        <v>214</v>
      </c>
      <c r="H396">
        <v>319</v>
      </c>
      <c r="I396" t="s">
        <v>322</v>
      </c>
      <c r="J396" t="s">
        <v>83</v>
      </c>
      <c r="K396" s="3" t="s">
        <v>1015</v>
      </c>
      <c r="M396" t="s">
        <v>85</v>
      </c>
      <c r="O396" t="s">
        <v>14</v>
      </c>
      <c r="P396" t="s">
        <v>1016</v>
      </c>
      <c r="Q396" t="s">
        <v>1017</v>
      </c>
      <c r="R396">
        <v>2019</v>
      </c>
      <c r="S396" t="s">
        <v>1018</v>
      </c>
      <c r="U396" t="s">
        <v>1019</v>
      </c>
      <c r="V396" t="s">
        <v>1020</v>
      </c>
      <c r="W396" t="s">
        <v>91</v>
      </c>
      <c r="X396" t="s">
        <v>126</v>
      </c>
      <c r="Y396" t="s">
        <v>127</v>
      </c>
      <c r="Z396" t="s">
        <v>128</v>
      </c>
      <c r="AA396" t="s">
        <v>1021</v>
      </c>
      <c r="AB396" t="s">
        <v>1022</v>
      </c>
      <c r="AC396" t="s">
        <v>1023</v>
      </c>
      <c r="AD396" t="s">
        <v>132</v>
      </c>
      <c r="AE396" t="s">
        <v>133</v>
      </c>
      <c r="AF396" t="s">
        <v>100</v>
      </c>
      <c r="AG396" t="s">
        <v>102</v>
      </c>
      <c r="AH396" t="s">
        <v>102</v>
      </c>
      <c r="AI396" t="s">
        <v>134</v>
      </c>
      <c r="AJ396" t="s">
        <v>135</v>
      </c>
      <c r="AM396" t="s">
        <v>136</v>
      </c>
      <c r="AN396" t="s">
        <v>106</v>
      </c>
      <c r="AV396">
        <v>55</v>
      </c>
      <c r="AW396" t="s">
        <v>108</v>
      </c>
      <c r="AX396">
        <v>25</v>
      </c>
      <c r="AY396" t="s">
        <v>103</v>
      </c>
      <c r="AZ396" t="s">
        <v>109</v>
      </c>
      <c r="BA396" t="s">
        <v>138</v>
      </c>
      <c r="BB396">
        <v>28.5</v>
      </c>
      <c r="BC396">
        <v>31</v>
      </c>
      <c r="BD396">
        <v>0.2</v>
      </c>
      <c r="BE396" t="s">
        <v>139</v>
      </c>
      <c r="BF396">
        <v>53</v>
      </c>
      <c r="BG396">
        <f>1/2</f>
        <v>0.5</v>
      </c>
      <c r="BS396" t="s">
        <v>515</v>
      </c>
      <c r="BU396" t="s">
        <v>1024</v>
      </c>
      <c r="BV396">
        <v>39.342860000000002</v>
      </c>
      <c r="BW396">
        <v>0.46692820000000002</v>
      </c>
      <c r="BX396">
        <v>14</v>
      </c>
      <c r="BY396">
        <v>40.109090000000002</v>
      </c>
      <c r="BZ396">
        <v>0.2300198</v>
      </c>
      <c r="CA396">
        <v>11</v>
      </c>
      <c r="CB396" t="s">
        <v>113</v>
      </c>
      <c r="CC396" t="s">
        <v>1025</v>
      </c>
    </row>
    <row r="397" spans="1:81" x14ac:dyDescent="0.25">
      <c r="A397" t="s">
        <v>81</v>
      </c>
      <c r="B397">
        <v>396</v>
      </c>
      <c r="C397">
        <v>94</v>
      </c>
      <c r="D397">
        <v>5</v>
      </c>
      <c r="E397">
        <v>80</v>
      </c>
      <c r="F397">
        <v>85</v>
      </c>
      <c r="G397">
        <v>215</v>
      </c>
      <c r="H397">
        <v>320</v>
      </c>
      <c r="J397" t="s">
        <v>338</v>
      </c>
      <c r="L397" t="s">
        <v>1026</v>
      </c>
      <c r="M397" t="s">
        <v>85</v>
      </c>
      <c r="O397" t="s">
        <v>14</v>
      </c>
      <c r="P397" t="s">
        <v>1027</v>
      </c>
      <c r="Q397" t="s">
        <v>1028</v>
      </c>
      <c r="R397">
        <v>2006</v>
      </c>
      <c r="S397" t="s">
        <v>494</v>
      </c>
      <c r="U397" t="s">
        <v>1029</v>
      </c>
      <c r="V397" t="s">
        <v>1030</v>
      </c>
      <c r="W397" t="s">
        <v>91</v>
      </c>
      <c r="X397" t="s">
        <v>126</v>
      </c>
      <c r="Y397" t="s">
        <v>127</v>
      </c>
      <c r="Z397" t="s">
        <v>128</v>
      </c>
      <c r="AA397" t="s">
        <v>161</v>
      </c>
      <c r="AB397" t="s">
        <v>162</v>
      </c>
      <c r="AC397" t="s">
        <v>163</v>
      </c>
      <c r="AD397" t="s">
        <v>132</v>
      </c>
      <c r="AE397" t="s">
        <v>133</v>
      </c>
      <c r="AF397" t="s">
        <v>100</v>
      </c>
      <c r="AG397" t="s">
        <v>261</v>
      </c>
      <c r="AH397" t="s">
        <v>262</v>
      </c>
      <c r="AI397" t="s">
        <v>103</v>
      </c>
      <c r="AJ397" t="s">
        <v>135</v>
      </c>
      <c r="AK397">
        <v>13.5</v>
      </c>
      <c r="AL397">
        <v>24</v>
      </c>
      <c r="AM397" t="s">
        <v>263</v>
      </c>
      <c r="AN397" t="s">
        <v>106</v>
      </c>
      <c r="AV397">
        <v>100</v>
      </c>
      <c r="AW397" t="s">
        <v>108</v>
      </c>
      <c r="AY397" t="s">
        <v>134</v>
      </c>
      <c r="AZ397" t="s">
        <v>109</v>
      </c>
      <c r="BA397" t="s">
        <v>1031</v>
      </c>
      <c r="BB397">
        <v>24</v>
      </c>
      <c r="BC397">
        <v>28</v>
      </c>
      <c r="BE397" t="s">
        <v>139</v>
      </c>
      <c r="BG397">
        <v>0.75</v>
      </c>
      <c r="BP397">
        <v>12</v>
      </c>
      <c r="BS397" t="s">
        <v>515</v>
      </c>
      <c r="BU397" t="s">
        <v>1032</v>
      </c>
      <c r="BV397">
        <v>39.757959999999997</v>
      </c>
      <c r="BW397">
        <v>0.33934009999999998</v>
      </c>
      <c r="BX397">
        <v>6</v>
      </c>
      <c r="BY397">
        <v>40.082799999999999</v>
      </c>
      <c r="BZ397">
        <v>0.37444430000000001</v>
      </c>
      <c r="CA397">
        <v>6</v>
      </c>
      <c r="CB397" t="s">
        <v>113</v>
      </c>
      <c r="CC397" t="s">
        <v>1033</v>
      </c>
    </row>
    <row r="398" spans="1:81" x14ac:dyDescent="0.25">
      <c r="A398" t="s">
        <v>81</v>
      </c>
      <c r="B398">
        <v>397</v>
      </c>
      <c r="C398">
        <v>94</v>
      </c>
      <c r="D398">
        <v>5</v>
      </c>
      <c r="E398">
        <v>80</v>
      </c>
      <c r="F398">
        <v>85</v>
      </c>
      <c r="G398">
        <v>216</v>
      </c>
      <c r="H398">
        <v>321</v>
      </c>
      <c r="J398" t="s">
        <v>338</v>
      </c>
      <c r="L398" t="s">
        <v>1026</v>
      </c>
      <c r="M398" t="s">
        <v>85</v>
      </c>
      <c r="O398" t="s">
        <v>14</v>
      </c>
      <c r="P398" t="s">
        <v>1027</v>
      </c>
      <c r="Q398" t="s">
        <v>1028</v>
      </c>
      <c r="R398">
        <v>2006</v>
      </c>
      <c r="S398" t="s">
        <v>494</v>
      </c>
      <c r="U398" t="s">
        <v>1029</v>
      </c>
      <c r="V398" t="s">
        <v>1030</v>
      </c>
      <c r="W398" t="s">
        <v>91</v>
      </c>
      <c r="X398" t="s">
        <v>126</v>
      </c>
      <c r="Y398" t="s">
        <v>127</v>
      </c>
      <c r="Z398" t="s">
        <v>128</v>
      </c>
      <c r="AA398" t="s">
        <v>161</v>
      </c>
      <c r="AB398" t="s">
        <v>162</v>
      </c>
      <c r="AC398" t="s">
        <v>163</v>
      </c>
      <c r="AD398" t="s">
        <v>132</v>
      </c>
      <c r="AE398" t="s">
        <v>133</v>
      </c>
      <c r="AF398" t="s">
        <v>100</v>
      </c>
      <c r="AG398" t="s">
        <v>261</v>
      </c>
      <c r="AH398" t="s">
        <v>262</v>
      </c>
      <c r="AI398" t="s">
        <v>103</v>
      </c>
      <c r="AJ398" t="s">
        <v>135</v>
      </c>
      <c r="AK398">
        <v>13.5</v>
      </c>
      <c r="AL398">
        <v>28</v>
      </c>
      <c r="AM398" t="s">
        <v>263</v>
      </c>
      <c r="AN398" t="s">
        <v>106</v>
      </c>
      <c r="AV398">
        <v>100</v>
      </c>
      <c r="AW398" t="s">
        <v>108</v>
      </c>
      <c r="AY398" t="s">
        <v>134</v>
      </c>
      <c r="AZ398" t="s">
        <v>109</v>
      </c>
      <c r="BA398" t="s">
        <v>1031</v>
      </c>
      <c r="BB398">
        <v>24</v>
      </c>
      <c r="BC398">
        <v>28</v>
      </c>
      <c r="BE398" t="s">
        <v>139</v>
      </c>
      <c r="BG398">
        <v>0.75</v>
      </c>
      <c r="BP398">
        <v>12</v>
      </c>
      <c r="BS398" t="s">
        <v>515</v>
      </c>
      <c r="BU398" t="s">
        <v>1034</v>
      </c>
      <c r="BV398">
        <v>40.675159999999998</v>
      </c>
      <c r="BW398">
        <v>0.32763880000000001</v>
      </c>
      <c r="BX398">
        <v>6</v>
      </c>
      <c r="BY398">
        <v>41.119430000000001</v>
      </c>
      <c r="BZ398">
        <v>0.37444430000000001</v>
      </c>
      <c r="CA398">
        <v>6</v>
      </c>
      <c r="CB398" t="s">
        <v>113</v>
      </c>
      <c r="CC398" t="s">
        <v>1033</v>
      </c>
    </row>
    <row r="399" spans="1:81" x14ac:dyDescent="0.25">
      <c r="A399" t="s">
        <v>81</v>
      </c>
      <c r="B399">
        <v>398</v>
      </c>
      <c r="C399">
        <v>94</v>
      </c>
      <c r="D399">
        <v>5</v>
      </c>
      <c r="E399">
        <v>80</v>
      </c>
      <c r="F399">
        <v>85</v>
      </c>
      <c r="G399">
        <v>217</v>
      </c>
      <c r="H399">
        <v>322</v>
      </c>
      <c r="J399" t="s">
        <v>338</v>
      </c>
      <c r="L399" t="s">
        <v>1026</v>
      </c>
      <c r="M399" t="s">
        <v>85</v>
      </c>
      <c r="O399" t="s">
        <v>14</v>
      </c>
      <c r="P399" t="s">
        <v>1027</v>
      </c>
      <c r="Q399" t="s">
        <v>1028</v>
      </c>
      <c r="R399">
        <v>2006</v>
      </c>
      <c r="S399" t="s">
        <v>494</v>
      </c>
      <c r="U399" t="s">
        <v>1029</v>
      </c>
      <c r="V399" t="s">
        <v>1030</v>
      </c>
      <c r="W399" t="s">
        <v>91</v>
      </c>
      <c r="X399" t="s">
        <v>126</v>
      </c>
      <c r="Y399" t="s">
        <v>127</v>
      </c>
      <c r="Z399" t="s">
        <v>128</v>
      </c>
      <c r="AA399" t="s">
        <v>161</v>
      </c>
      <c r="AB399" t="s">
        <v>162</v>
      </c>
      <c r="AC399" t="s">
        <v>163</v>
      </c>
      <c r="AD399" t="s">
        <v>132</v>
      </c>
      <c r="AE399" t="s">
        <v>133</v>
      </c>
      <c r="AF399" t="s">
        <v>100</v>
      </c>
      <c r="AG399" t="s">
        <v>261</v>
      </c>
      <c r="AH399" t="s">
        <v>262</v>
      </c>
      <c r="AI399" t="s">
        <v>103</v>
      </c>
      <c r="AJ399" t="s">
        <v>135</v>
      </c>
      <c r="AK399">
        <v>13.5</v>
      </c>
      <c r="AL399">
        <v>32</v>
      </c>
      <c r="AM399" t="s">
        <v>263</v>
      </c>
      <c r="AN399" t="s">
        <v>106</v>
      </c>
      <c r="AV399">
        <v>100</v>
      </c>
      <c r="AW399" t="s">
        <v>108</v>
      </c>
      <c r="AY399" t="s">
        <v>103</v>
      </c>
      <c r="AZ399" t="s">
        <v>109</v>
      </c>
      <c r="BA399" t="s">
        <v>1031</v>
      </c>
      <c r="BB399">
        <v>24</v>
      </c>
      <c r="BC399">
        <v>28</v>
      </c>
      <c r="BE399" t="s">
        <v>139</v>
      </c>
      <c r="BG399">
        <v>0.75</v>
      </c>
      <c r="BP399">
        <v>12</v>
      </c>
      <c r="BU399" t="s">
        <v>1035</v>
      </c>
      <c r="BV399">
        <v>41.8551</v>
      </c>
      <c r="BW399">
        <v>0.35104150000000001</v>
      </c>
      <c r="BX399">
        <v>6</v>
      </c>
      <c r="BY399">
        <v>41.984079999999999</v>
      </c>
      <c r="BZ399">
        <v>0.39784710000000001</v>
      </c>
      <c r="CA399">
        <v>6</v>
      </c>
      <c r="CB399" t="s">
        <v>113</v>
      </c>
      <c r="CC399" t="s">
        <v>1033</v>
      </c>
    </row>
    <row r="400" spans="1:81" x14ac:dyDescent="0.25">
      <c r="A400" t="s">
        <v>81</v>
      </c>
      <c r="B400">
        <v>399</v>
      </c>
      <c r="C400">
        <v>3</v>
      </c>
      <c r="D400">
        <v>3</v>
      </c>
      <c r="E400">
        <v>81</v>
      </c>
      <c r="F400">
        <v>86</v>
      </c>
      <c r="G400">
        <v>218</v>
      </c>
      <c r="H400">
        <v>323</v>
      </c>
      <c r="I400" t="s">
        <v>1036</v>
      </c>
      <c r="J400" t="s">
        <v>83</v>
      </c>
      <c r="L400" t="s">
        <v>1037</v>
      </c>
      <c r="M400" t="s">
        <v>746</v>
      </c>
      <c r="O400" t="s">
        <v>250</v>
      </c>
      <c r="P400" t="s">
        <v>1038</v>
      </c>
      <c r="Q400" t="s">
        <v>1039</v>
      </c>
      <c r="R400">
        <v>2010</v>
      </c>
      <c r="S400" t="s">
        <v>253</v>
      </c>
      <c r="T400">
        <v>5</v>
      </c>
      <c r="V400" t="s">
        <v>1040</v>
      </c>
      <c r="W400" t="s">
        <v>170</v>
      </c>
      <c r="X400" t="s">
        <v>171</v>
      </c>
      <c r="Y400" t="s">
        <v>778</v>
      </c>
      <c r="Z400" t="s">
        <v>779</v>
      </c>
      <c r="AA400" t="s">
        <v>1041</v>
      </c>
      <c r="AB400" t="s">
        <v>1042</v>
      </c>
      <c r="AC400" t="s">
        <v>1043</v>
      </c>
      <c r="AD400" t="s">
        <v>98</v>
      </c>
      <c r="AE400" t="s">
        <v>177</v>
      </c>
      <c r="AF400" t="s">
        <v>260</v>
      </c>
      <c r="AG400" t="s">
        <v>261</v>
      </c>
      <c r="AH400" t="s">
        <v>102</v>
      </c>
      <c r="AI400" t="s">
        <v>134</v>
      </c>
      <c r="AJ400" t="s">
        <v>135</v>
      </c>
      <c r="AM400" t="s">
        <v>178</v>
      </c>
      <c r="AN400" t="s">
        <v>106</v>
      </c>
      <c r="AV400">
        <v>1</v>
      </c>
      <c r="AW400" t="s">
        <v>108</v>
      </c>
      <c r="AX400">
        <v>20</v>
      </c>
      <c r="AY400" t="s">
        <v>134</v>
      </c>
      <c r="AZ400" t="s">
        <v>109</v>
      </c>
      <c r="BA400" t="s">
        <v>180</v>
      </c>
      <c r="BB400">
        <v>10</v>
      </c>
      <c r="BC400">
        <v>20</v>
      </c>
      <c r="BD400">
        <v>0.5</v>
      </c>
      <c r="BE400" t="s">
        <v>139</v>
      </c>
      <c r="BG400">
        <v>0.1</v>
      </c>
      <c r="BP400">
        <v>16</v>
      </c>
      <c r="BS400" t="s">
        <v>230</v>
      </c>
      <c r="BU400" t="s">
        <v>1044</v>
      </c>
      <c r="BV400">
        <v>39.403329999999997</v>
      </c>
      <c r="BW400">
        <v>1.168401</v>
      </c>
      <c r="BX400">
        <v>30</v>
      </c>
      <c r="BY400">
        <v>40.684849999999997</v>
      </c>
      <c r="BZ400">
        <v>0.44659910000000003</v>
      </c>
      <c r="CA400">
        <v>33</v>
      </c>
      <c r="CB400" t="s">
        <v>113</v>
      </c>
      <c r="CC400" t="s">
        <v>1045</v>
      </c>
    </row>
    <row r="401" spans="1:81" x14ac:dyDescent="0.25">
      <c r="A401" t="s">
        <v>81</v>
      </c>
      <c r="B401">
        <v>400</v>
      </c>
      <c r="C401">
        <v>3</v>
      </c>
      <c r="D401">
        <v>3</v>
      </c>
      <c r="E401">
        <v>81</v>
      </c>
      <c r="F401">
        <v>86</v>
      </c>
      <c r="G401">
        <v>218</v>
      </c>
      <c r="H401">
        <v>323</v>
      </c>
      <c r="I401" t="s">
        <v>1036</v>
      </c>
      <c r="J401" t="s">
        <v>83</v>
      </c>
      <c r="L401" t="s">
        <v>1037</v>
      </c>
      <c r="M401" t="s">
        <v>746</v>
      </c>
      <c r="O401" t="s">
        <v>250</v>
      </c>
      <c r="P401" t="s">
        <v>1038</v>
      </c>
      <c r="Q401" t="s">
        <v>1039</v>
      </c>
      <c r="R401">
        <v>2010</v>
      </c>
      <c r="S401" t="s">
        <v>253</v>
      </c>
      <c r="T401">
        <v>5</v>
      </c>
      <c r="V401" t="s">
        <v>1040</v>
      </c>
      <c r="W401" t="s">
        <v>170</v>
      </c>
      <c r="X401" t="s">
        <v>171</v>
      </c>
      <c r="Y401" t="s">
        <v>778</v>
      </c>
      <c r="Z401" t="s">
        <v>779</v>
      </c>
      <c r="AA401" t="s">
        <v>1041</v>
      </c>
      <c r="AB401" t="s">
        <v>1042</v>
      </c>
      <c r="AC401" t="s">
        <v>1043</v>
      </c>
      <c r="AD401" t="s">
        <v>98</v>
      </c>
      <c r="AE401" t="s">
        <v>177</v>
      </c>
      <c r="AF401" t="s">
        <v>260</v>
      </c>
      <c r="AG401" t="s">
        <v>261</v>
      </c>
      <c r="AH401" t="s">
        <v>102</v>
      </c>
      <c r="AI401" t="s">
        <v>134</v>
      </c>
      <c r="AJ401" t="s">
        <v>135</v>
      </c>
      <c r="AM401" t="s">
        <v>178</v>
      </c>
      <c r="AN401" t="s">
        <v>106</v>
      </c>
      <c r="AV401">
        <v>1</v>
      </c>
      <c r="AW401" t="s">
        <v>108</v>
      </c>
      <c r="AX401">
        <v>20</v>
      </c>
      <c r="AY401" t="s">
        <v>134</v>
      </c>
      <c r="AZ401" t="s">
        <v>109</v>
      </c>
      <c r="BA401" t="s">
        <v>180</v>
      </c>
      <c r="BB401">
        <v>20</v>
      </c>
      <c r="BC401">
        <v>25</v>
      </c>
      <c r="BD401">
        <v>0.5</v>
      </c>
      <c r="BE401" t="s">
        <v>139</v>
      </c>
      <c r="BG401">
        <v>0.1</v>
      </c>
      <c r="BP401">
        <v>16</v>
      </c>
      <c r="BS401" t="s">
        <v>230</v>
      </c>
      <c r="BU401" t="s">
        <v>1046</v>
      </c>
      <c r="BV401">
        <v>40.684849999999997</v>
      </c>
      <c r="BW401">
        <v>0.44659910000000003</v>
      </c>
      <c r="BX401">
        <v>33</v>
      </c>
      <c r="BY401">
        <v>40.553130000000003</v>
      </c>
      <c r="BZ401">
        <v>0.9026786</v>
      </c>
      <c r="CA401">
        <v>32</v>
      </c>
      <c r="CB401" t="s">
        <v>113</v>
      </c>
      <c r="CC401" t="s">
        <v>1045</v>
      </c>
    </row>
    <row r="402" spans="1:81" x14ac:dyDescent="0.25">
      <c r="A402" t="s">
        <v>81</v>
      </c>
      <c r="B402">
        <v>401</v>
      </c>
      <c r="C402">
        <v>3</v>
      </c>
      <c r="D402">
        <v>3</v>
      </c>
      <c r="E402">
        <v>81</v>
      </c>
      <c r="F402">
        <v>86</v>
      </c>
      <c r="G402">
        <v>219</v>
      </c>
      <c r="H402">
        <v>323</v>
      </c>
      <c r="I402" t="s">
        <v>1036</v>
      </c>
      <c r="J402" t="s">
        <v>83</v>
      </c>
      <c r="L402" t="s">
        <v>1037</v>
      </c>
      <c r="M402" t="s">
        <v>746</v>
      </c>
      <c r="O402" t="s">
        <v>250</v>
      </c>
      <c r="P402" t="s">
        <v>1038</v>
      </c>
      <c r="Q402" t="s">
        <v>1039</v>
      </c>
      <c r="R402">
        <v>2010</v>
      </c>
      <c r="S402" t="s">
        <v>253</v>
      </c>
      <c r="T402">
        <v>5</v>
      </c>
      <c r="V402" t="s">
        <v>1040</v>
      </c>
      <c r="W402" t="s">
        <v>170</v>
      </c>
      <c r="X402" t="s">
        <v>171</v>
      </c>
      <c r="Y402" t="s">
        <v>778</v>
      </c>
      <c r="Z402" t="s">
        <v>779</v>
      </c>
      <c r="AA402" t="s">
        <v>1041</v>
      </c>
      <c r="AB402" t="s">
        <v>1042</v>
      </c>
      <c r="AC402" t="s">
        <v>1043</v>
      </c>
      <c r="AD402" t="s">
        <v>98</v>
      </c>
      <c r="AE402" t="s">
        <v>177</v>
      </c>
      <c r="AF402" t="s">
        <v>260</v>
      </c>
      <c r="AG402" t="s">
        <v>261</v>
      </c>
      <c r="AH402" t="s">
        <v>102</v>
      </c>
      <c r="AI402" t="s">
        <v>134</v>
      </c>
      <c r="AJ402" t="s">
        <v>135</v>
      </c>
      <c r="AM402" t="s">
        <v>178</v>
      </c>
      <c r="AN402" t="s">
        <v>106</v>
      </c>
      <c r="AV402">
        <v>1</v>
      </c>
      <c r="AW402" t="s">
        <v>108</v>
      </c>
      <c r="AX402">
        <v>20</v>
      </c>
      <c r="AY402" t="s">
        <v>134</v>
      </c>
      <c r="AZ402" t="s">
        <v>109</v>
      </c>
      <c r="BA402" t="s">
        <v>180</v>
      </c>
      <c r="BB402">
        <v>10</v>
      </c>
      <c r="BC402">
        <v>20</v>
      </c>
      <c r="BD402">
        <v>0.5</v>
      </c>
      <c r="BE402" t="s">
        <v>139</v>
      </c>
      <c r="BG402">
        <v>0.1</v>
      </c>
      <c r="BP402">
        <v>16</v>
      </c>
      <c r="BS402" t="s">
        <v>230</v>
      </c>
      <c r="BU402" t="s">
        <v>1047</v>
      </c>
      <c r="BV402">
        <v>41.943330000000003</v>
      </c>
      <c r="BW402">
        <v>0.34107670000000001</v>
      </c>
      <c r="BX402">
        <v>30</v>
      </c>
      <c r="BY402">
        <v>42.118180000000002</v>
      </c>
      <c r="BZ402">
        <v>0.55122389999999999</v>
      </c>
      <c r="CA402">
        <v>44</v>
      </c>
      <c r="CB402" t="s">
        <v>113</v>
      </c>
      <c r="CC402" t="s">
        <v>1045</v>
      </c>
    </row>
    <row r="403" spans="1:81" x14ac:dyDescent="0.25">
      <c r="A403" t="s">
        <v>81</v>
      </c>
      <c r="B403">
        <v>402</v>
      </c>
      <c r="C403">
        <v>3</v>
      </c>
      <c r="D403">
        <v>3</v>
      </c>
      <c r="E403">
        <v>81</v>
      </c>
      <c r="F403">
        <v>86</v>
      </c>
      <c r="G403">
        <v>219</v>
      </c>
      <c r="H403">
        <v>323</v>
      </c>
      <c r="I403" t="s">
        <v>1036</v>
      </c>
      <c r="J403" t="s">
        <v>83</v>
      </c>
      <c r="L403" t="s">
        <v>1037</v>
      </c>
      <c r="M403" t="s">
        <v>746</v>
      </c>
      <c r="O403" t="s">
        <v>250</v>
      </c>
      <c r="P403" t="s">
        <v>1038</v>
      </c>
      <c r="Q403" t="s">
        <v>1039</v>
      </c>
      <c r="R403">
        <v>2010</v>
      </c>
      <c r="S403" t="s">
        <v>253</v>
      </c>
      <c r="T403">
        <v>5</v>
      </c>
      <c r="V403" t="s">
        <v>1040</v>
      </c>
      <c r="W403" t="s">
        <v>170</v>
      </c>
      <c r="X403" t="s">
        <v>171</v>
      </c>
      <c r="Y403" t="s">
        <v>778</v>
      </c>
      <c r="Z403" t="s">
        <v>779</v>
      </c>
      <c r="AA403" t="s">
        <v>1041</v>
      </c>
      <c r="AB403" t="s">
        <v>1042</v>
      </c>
      <c r="AC403" t="s">
        <v>1043</v>
      </c>
      <c r="AD403" t="s">
        <v>98</v>
      </c>
      <c r="AE403" t="s">
        <v>177</v>
      </c>
      <c r="AF403" t="s">
        <v>260</v>
      </c>
      <c r="AG403" t="s">
        <v>261</v>
      </c>
      <c r="AH403" t="s">
        <v>102</v>
      </c>
      <c r="AI403" t="s">
        <v>134</v>
      </c>
      <c r="AJ403" t="s">
        <v>135</v>
      </c>
      <c r="AM403" t="s">
        <v>178</v>
      </c>
      <c r="AN403" t="s">
        <v>106</v>
      </c>
      <c r="AV403">
        <v>1</v>
      </c>
      <c r="AW403" t="s">
        <v>108</v>
      </c>
      <c r="AX403">
        <v>20</v>
      </c>
      <c r="AY403" t="s">
        <v>134</v>
      </c>
      <c r="AZ403" t="s">
        <v>109</v>
      </c>
      <c r="BA403" t="s">
        <v>180</v>
      </c>
      <c r="BB403">
        <v>20</v>
      </c>
      <c r="BC403">
        <v>25</v>
      </c>
      <c r="BD403">
        <v>0.5</v>
      </c>
      <c r="BE403" t="s">
        <v>139</v>
      </c>
      <c r="BG403">
        <v>0.1</v>
      </c>
      <c r="BP403">
        <v>16</v>
      </c>
      <c r="BS403" t="s">
        <v>230</v>
      </c>
      <c r="BU403" t="s">
        <v>1047</v>
      </c>
      <c r="BV403">
        <v>42.118180000000002</v>
      </c>
      <c r="BW403">
        <v>0.55122389999999999</v>
      </c>
      <c r="BX403">
        <v>44</v>
      </c>
      <c r="BY403">
        <v>42.218420000000002</v>
      </c>
      <c r="BZ403">
        <v>0.55256419999999995</v>
      </c>
      <c r="CA403">
        <v>38</v>
      </c>
      <c r="CB403" t="s">
        <v>113</v>
      </c>
      <c r="CC403" t="s">
        <v>1045</v>
      </c>
    </row>
    <row r="404" spans="1:81" x14ac:dyDescent="0.25">
      <c r="A404" t="s">
        <v>81</v>
      </c>
      <c r="B404">
        <v>403</v>
      </c>
      <c r="C404">
        <v>3</v>
      </c>
      <c r="D404">
        <v>3</v>
      </c>
      <c r="E404">
        <v>82</v>
      </c>
      <c r="F404">
        <v>87</v>
      </c>
      <c r="G404">
        <v>220</v>
      </c>
      <c r="H404">
        <v>324</v>
      </c>
      <c r="I404" t="s">
        <v>1036</v>
      </c>
      <c r="J404" t="s">
        <v>83</v>
      </c>
      <c r="L404" t="s">
        <v>1037</v>
      </c>
      <c r="M404" t="s">
        <v>746</v>
      </c>
      <c r="O404" t="s">
        <v>250</v>
      </c>
      <c r="P404" t="s">
        <v>1038</v>
      </c>
      <c r="Q404" t="s">
        <v>1039</v>
      </c>
      <c r="R404">
        <v>2010</v>
      </c>
      <c r="S404" t="s">
        <v>253</v>
      </c>
      <c r="T404">
        <v>5</v>
      </c>
      <c r="V404" t="s">
        <v>1040</v>
      </c>
      <c r="W404" t="s">
        <v>170</v>
      </c>
      <c r="X404" t="s">
        <v>171</v>
      </c>
      <c r="Y404" t="s">
        <v>778</v>
      </c>
      <c r="Z404" t="s">
        <v>779</v>
      </c>
      <c r="AA404" t="s">
        <v>1041</v>
      </c>
      <c r="AB404" t="s">
        <v>1042</v>
      </c>
      <c r="AC404" t="s">
        <v>1043</v>
      </c>
      <c r="AD404" t="s">
        <v>98</v>
      </c>
      <c r="AE404" t="s">
        <v>177</v>
      </c>
      <c r="AF404" t="s">
        <v>260</v>
      </c>
      <c r="AG404" t="s">
        <v>261</v>
      </c>
      <c r="AH404" t="s">
        <v>102</v>
      </c>
      <c r="AI404" t="s">
        <v>134</v>
      </c>
      <c r="AJ404" t="s">
        <v>135</v>
      </c>
      <c r="AM404" t="s">
        <v>178</v>
      </c>
      <c r="AN404" t="s">
        <v>106</v>
      </c>
      <c r="AV404">
        <v>1</v>
      </c>
      <c r="AW404" t="s">
        <v>108</v>
      </c>
      <c r="AX404">
        <v>20</v>
      </c>
      <c r="AY404" t="s">
        <v>134</v>
      </c>
      <c r="AZ404" t="s">
        <v>109</v>
      </c>
      <c r="BA404" t="s">
        <v>180</v>
      </c>
      <c r="BB404">
        <v>10</v>
      </c>
      <c r="BC404">
        <v>20</v>
      </c>
      <c r="BD404">
        <v>0.5</v>
      </c>
      <c r="BE404" t="s">
        <v>139</v>
      </c>
      <c r="BG404">
        <v>0.1</v>
      </c>
      <c r="BP404">
        <v>16</v>
      </c>
      <c r="BS404" t="s">
        <v>230</v>
      </c>
      <c r="BU404" t="s">
        <v>1048</v>
      </c>
      <c r="BV404">
        <v>39.43</v>
      </c>
      <c r="BW404">
        <v>1.8586517</v>
      </c>
      <c r="BX404">
        <v>30</v>
      </c>
      <c r="BY404">
        <v>40.203330000000001</v>
      </c>
      <c r="BZ404">
        <v>0.54550410000000005</v>
      </c>
      <c r="CA404">
        <v>30</v>
      </c>
      <c r="CB404" t="s">
        <v>113</v>
      </c>
      <c r="CC404" t="s">
        <v>1045</v>
      </c>
    </row>
    <row r="405" spans="1:81" x14ac:dyDescent="0.25">
      <c r="A405" t="s">
        <v>81</v>
      </c>
      <c r="B405">
        <v>404</v>
      </c>
      <c r="C405">
        <v>3</v>
      </c>
      <c r="D405">
        <v>3</v>
      </c>
      <c r="E405">
        <v>82</v>
      </c>
      <c r="F405">
        <v>87</v>
      </c>
      <c r="G405">
        <v>220</v>
      </c>
      <c r="H405">
        <v>324</v>
      </c>
      <c r="I405" t="s">
        <v>1036</v>
      </c>
      <c r="J405" t="s">
        <v>83</v>
      </c>
      <c r="L405" t="s">
        <v>1037</v>
      </c>
      <c r="M405" t="s">
        <v>746</v>
      </c>
      <c r="O405" t="s">
        <v>250</v>
      </c>
      <c r="P405" t="s">
        <v>1038</v>
      </c>
      <c r="Q405" t="s">
        <v>1039</v>
      </c>
      <c r="R405">
        <v>2010</v>
      </c>
      <c r="S405" t="s">
        <v>253</v>
      </c>
      <c r="T405">
        <v>5</v>
      </c>
      <c r="V405" t="s">
        <v>1040</v>
      </c>
      <c r="W405" t="s">
        <v>170</v>
      </c>
      <c r="X405" t="s">
        <v>171</v>
      </c>
      <c r="Y405" t="s">
        <v>778</v>
      </c>
      <c r="Z405" t="s">
        <v>779</v>
      </c>
      <c r="AA405" t="s">
        <v>1041</v>
      </c>
      <c r="AB405" t="s">
        <v>1042</v>
      </c>
      <c r="AC405" t="s">
        <v>1043</v>
      </c>
      <c r="AD405" t="s">
        <v>98</v>
      </c>
      <c r="AE405" t="s">
        <v>177</v>
      </c>
      <c r="AF405" t="s">
        <v>260</v>
      </c>
      <c r="AG405" t="s">
        <v>261</v>
      </c>
      <c r="AH405" t="s">
        <v>102</v>
      </c>
      <c r="AI405" t="s">
        <v>134</v>
      </c>
      <c r="AJ405" t="s">
        <v>135</v>
      </c>
      <c r="AM405" t="s">
        <v>178</v>
      </c>
      <c r="AN405" t="s">
        <v>106</v>
      </c>
      <c r="AV405">
        <v>1</v>
      </c>
      <c r="AW405" t="s">
        <v>108</v>
      </c>
      <c r="AX405">
        <v>20</v>
      </c>
      <c r="AY405" t="s">
        <v>134</v>
      </c>
      <c r="AZ405" t="s">
        <v>109</v>
      </c>
      <c r="BA405" t="s">
        <v>180</v>
      </c>
      <c r="BB405">
        <v>20</v>
      </c>
      <c r="BC405">
        <v>25</v>
      </c>
      <c r="BD405">
        <v>0.5</v>
      </c>
      <c r="BE405" t="s">
        <v>139</v>
      </c>
      <c r="BG405">
        <v>0.1</v>
      </c>
      <c r="BP405">
        <v>16</v>
      </c>
      <c r="BS405" t="s">
        <v>230</v>
      </c>
      <c r="BU405" t="s">
        <v>1049</v>
      </c>
      <c r="BV405">
        <v>40.203330000000001</v>
      </c>
      <c r="BW405">
        <v>0.54550410000000005</v>
      </c>
      <c r="BX405">
        <v>30</v>
      </c>
      <c r="BY405">
        <v>40.936669999999999</v>
      </c>
      <c r="BZ405">
        <v>0.49164279999999999</v>
      </c>
      <c r="CA405">
        <v>30</v>
      </c>
      <c r="CB405" t="s">
        <v>113</v>
      </c>
      <c r="CC405" t="s">
        <v>1045</v>
      </c>
    </row>
    <row r="406" spans="1:81" x14ac:dyDescent="0.25">
      <c r="A406" t="s">
        <v>81</v>
      </c>
      <c r="B406">
        <v>405</v>
      </c>
      <c r="C406">
        <v>3</v>
      </c>
      <c r="D406">
        <v>3</v>
      </c>
      <c r="E406">
        <v>82</v>
      </c>
      <c r="F406">
        <v>87</v>
      </c>
      <c r="G406">
        <v>221</v>
      </c>
      <c r="H406">
        <v>324</v>
      </c>
      <c r="I406" t="s">
        <v>1036</v>
      </c>
      <c r="J406" t="s">
        <v>83</v>
      </c>
      <c r="L406" t="s">
        <v>1037</v>
      </c>
      <c r="M406" t="s">
        <v>746</v>
      </c>
      <c r="O406" t="s">
        <v>250</v>
      </c>
      <c r="P406" t="s">
        <v>1038</v>
      </c>
      <c r="Q406" t="s">
        <v>1039</v>
      </c>
      <c r="R406">
        <v>2010</v>
      </c>
      <c r="S406" t="s">
        <v>253</v>
      </c>
      <c r="T406">
        <v>5</v>
      </c>
      <c r="V406" t="s">
        <v>1040</v>
      </c>
      <c r="W406" t="s">
        <v>170</v>
      </c>
      <c r="X406" t="s">
        <v>171</v>
      </c>
      <c r="Y406" t="s">
        <v>778</v>
      </c>
      <c r="Z406" t="s">
        <v>779</v>
      </c>
      <c r="AA406" t="s">
        <v>1041</v>
      </c>
      <c r="AB406" t="s">
        <v>1042</v>
      </c>
      <c r="AC406" t="s">
        <v>1043</v>
      </c>
      <c r="AD406" t="s">
        <v>98</v>
      </c>
      <c r="AE406" t="s">
        <v>177</v>
      </c>
      <c r="AF406" t="s">
        <v>260</v>
      </c>
      <c r="AG406" t="s">
        <v>261</v>
      </c>
      <c r="AH406" t="s">
        <v>102</v>
      </c>
      <c r="AI406" t="s">
        <v>134</v>
      </c>
      <c r="AJ406" t="s">
        <v>135</v>
      </c>
      <c r="AM406" t="s">
        <v>178</v>
      </c>
      <c r="AN406" t="s">
        <v>106</v>
      </c>
      <c r="AV406">
        <v>1</v>
      </c>
      <c r="AW406" t="s">
        <v>108</v>
      </c>
      <c r="AX406">
        <v>20</v>
      </c>
      <c r="AY406" t="s">
        <v>134</v>
      </c>
      <c r="AZ406" t="s">
        <v>109</v>
      </c>
      <c r="BA406" t="s">
        <v>180</v>
      </c>
      <c r="BB406">
        <v>10</v>
      </c>
      <c r="BC406">
        <v>20</v>
      </c>
      <c r="BD406">
        <v>0.5</v>
      </c>
      <c r="BE406" t="s">
        <v>139</v>
      </c>
      <c r="BG406">
        <v>0.1</v>
      </c>
      <c r="BP406">
        <v>16</v>
      </c>
      <c r="BS406" t="s">
        <v>230</v>
      </c>
      <c r="BU406" t="s">
        <v>1050</v>
      </c>
      <c r="BV406">
        <v>42.05</v>
      </c>
      <c r="BW406">
        <v>0.60272369999999997</v>
      </c>
      <c r="BX406">
        <v>30</v>
      </c>
      <c r="BY406">
        <v>41.929029999999997</v>
      </c>
      <c r="BZ406">
        <v>0.58605660000000004</v>
      </c>
      <c r="CA406">
        <v>31</v>
      </c>
      <c r="CB406" t="s">
        <v>113</v>
      </c>
      <c r="CC406" t="s">
        <v>1045</v>
      </c>
    </row>
    <row r="407" spans="1:81" x14ac:dyDescent="0.25">
      <c r="A407" t="s">
        <v>81</v>
      </c>
      <c r="B407">
        <v>406</v>
      </c>
      <c r="C407">
        <v>3</v>
      </c>
      <c r="D407">
        <v>3</v>
      </c>
      <c r="E407">
        <v>82</v>
      </c>
      <c r="F407">
        <v>87</v>
      </c>
      <c r="G407">
        <v>221</v>
      </c>
      <c r="H407">
        <v>324</v>
      </c>
      <c r="I407" t="s">
        <v>1036</v>
      </c>
      <c r="J407" t="s">
        <v>83</v>
      </c>
      <c r="L407" t="s">
        <v>1037</v>
      </c>
      <c r="M407" t="s">
        <v>746</v>
      </c>
      <c r="O407" t="s">
        <v>250</v>
      </c>
      <c r="P407" t="s">
        <v>1038</v>
      </c>
      <c r="Q407" t="s">
        <v>1039</v>
      </c>
      <c r="R407">
        <v>2010</v>
      </c>
      <c r="S407" t="s">
        <v>253</v>
      </c>
      <c r="T407">
        <v>5</v>
      </c>
      <c r="V407" t="s">
        <v>1040</v>
      </c>
      <c r="W407" t="s">
        <v>170</v>
      </c>
      <c r="X407" t="s">
        <v>171</v>
      </c>
      <c r="Y407" t="s">
        <v>778</v>
      </c>
      <c r="Z407" t="s">
        <v>779</v>
      </c>
      <c r="AA407" t="s">
        <v>1041</v>
      </c>
      <c r="AB407" t="s">
        <v>1042</v>
      </c>
      <c r="AC407" t="s">
        <v>1043</v>
      </c>
      <c r="AD407" t="s">
        <v>98</v>
      </c>
      <c r="AE407" t="s">
        <v>177</v>
      </c>
      <c r="AF407" t="s">
        <v>260</v>
      </c>
      <c r="AG407" t="s">
        <v>261</v>
      </c>
      <c r="AH407" t="s">
        <v>102</v>
      </c>
      <c r="AI407" t="s">
        <v>134</v>
      </c>
      <c r="AJ407" t="s">
        <v>135</v>
      </c>
      <c r="AM407" t="s">
        <v>178</v>
      </c>
      <c r="AN407" t="s">
        <v>106</v>
      </c>
      <c r="AV407">
        <v>1</v>
      </c>
      <c r="AW407" t="s">
        <v>108</v>
      </c>
      <c r="AX407">
        <v>20</v>
      </c>
      <c r="AY407" t="s">
        <v>134</v>
      </c>
      <c r="AZ407" t="s">
        <v>109</v>
      </c>
      <c r="BA407" t="s">
        <v>180</v>
      </c>
      <c r="BB407">
        <v>20</v>
      </c>
      <c r="BC407">
        <v>25</v>
      </c>
      <c r="BD407">
        <v>0.5</v>
      </c>
      <c r="BE407" t="s">
        <v>139</v>
      </c>
      <c r="BG407">
        <v>0.1</v>
      </c>
      <c r="BP407">
        <v>16</v>
      </c>
      <c r="BS407" t="s">
        <v>230</v>
      </c>
      <c r="BU407" t="s">
        <v>1050</v>
      </c>
      <c r="BV407">
        <v>41.929029999999997</v>
      </c>
      <c r="BW407">
        <v>0.58605660000000004</v>
      </c>
      <c r="BX407">
        <v>31</v>
      </c>
      <c r="BY407">
        <v>42.596670000000003</v>
      </c>
      <c r="BZ407">
        <v>0.44681500000000002</v>
      </c>
      <c r="CA407">
        <v>30</v>
      </c>
      <c r="CB407" t="s">
        <v>113</v>
      </c>
      <c r="CC407" t="s">
        <v>1045</v>
      </c>
    </row>
    <row r="408" spans="1:81" x14ac:dyDescent="0.25">
      <c r="A408" t="s">
        <v>81</v>
      </c>
      <c r="B408">
        <v>407</v>
      </c>
      <c r="C408">
        <v>3</v>
      </c>
      <c r="D408">
        <v>3</v>
      </c>
      <c r="E408">
        <v>83</v>
      </c>
      <c r="F408">
        <v>88</v>
      </c>
      <c r="G408">
        <v>222</v>
      </c>
      <c r="H408">
        <v>325</v>
      </c>
      <c r="I408" t="s">
        <v>1036</v>
      </c>
      <c r="J408" t="s">
        <v>83</v>
      </c>
      <c r="L408" t="s">
        <v>1037</v>
      </c>
      <c r="M408" t="s">
        <v>746</v>
      </c>
      <c r="O408" t="s">
        <v>250</v>
      </c>
      <c r="P408" t="s">
        <v>1038</v>
      </c>
      <c r="Q408" t="s">
        <v>1039</v>
      </c>
      <c r="R408">
        <v>2010</v>
      </c>
      <c r="S408" t="s">
        <v>253</v>
      </c>
      <c r="T408">
        <v>5</v>
      </c>
      <c r="V408" t="s">
        <v>1040</v>
      </c>
      <c r="W408" t="s">
        <v>170</v>
      </c>
      <c r="X408" t="s">
        <v>171</v>
      </c>
      <c r="Y408" t="s">
        <v>778</v>
      </c>
      <c r="Z408" t="s">
        <v>779</v>
      </c>
      <c r="AA408" t="s">
        <v>1041</v>
      </c>
      <c r="AB408" t="s">
        <v>1042</v>
      </c>
      <c r="AC408" t="s">
        <v>1043</v>
      </c>
      <c r="AD408" t="s">
        <v>98</v>
      </c>
      <c r="AE408" t="s">
        <v>177</v>
      </c>
      <c r="AF408" t="s">
        <v>260</v>
      </c>
      <c r="AG408" t="s">
        <v>261</v>
      </c>
      <c r="AH408" t="s">
        <v>102</v>
      </c>
      <c r="AI408" t="s">
        <v>134</v>
      </c>
      <c r="AJ408" t="s">
        <v>135</v>
      </c>
      <c r="AM408" t="s">
        <v>178</v>
      </c>
      <c r="AN408" t="s">
        <v>106</v>
      </c>
      <c r="AV408">
        <v>1</v>
      </c>
      <c r="AW408" t="s">
        <v>108</v>
      </c>
      <c r="AX408">
        <v>20</v>
      </c>
      <c r="AY408" t="s">
        <v>134</v>
      </c>
      <c r="AZ408" t="s">
        <v>109</v>
      </c>
      <c r="BA408" t="s">
        <v>180</v>
      </c>
      <c r="BB408">
        <v>10</v>
      </c>
      <c r="BC408">
        <v>20</v>
      </c>
      <c r="BD408">
        <v>0.5</v>
      </c>
      <c r="BE408" t="s">
        <v>139</v>
      </c>
      <c r="BG408">
        <v>0.1</v>
      </c>
      <c r="BP408">
        <v>16</v>
      </c>
      <c r="BS408" t="s">
        <v>230</v>
      </c>
      <c r="BU408" t="s">
        <v>1051</v>
      </c>
      <c r="BV408">
        <v>39.283329999999999</v>
      </c>
      <c r="BW408">
        <v>0.43792880000000001</v>
      </c>
      <c r="BX408">
        <v>30</v>
      </c>
      <c r="BY408">
        <v>40.200000000000003</v>
      </c>
      <c r="BZ408">
        <v>0.52060969999999995</v>
      </c>
      <c r="CA408">
        <v>30</v>
      </c>
      <c r="CB408" t="s">
        <v>113</v>
      </c>
      <c r="CC408" t="s">
        <v>1045</v>
      </c>
    </row>
    <row r="409" spans="1:81" x14ac:dyDescent="0.25">
      <c r="A409" t="s">
        <v>81</v>
      </c>
      <c r="B409">
        <v>408</v>
      </c>
      <c r="C409">
        <v>3</v>
      </c>
      <c r="D409">
        <v>3</v>
      </c>
      <c r="E409">
        <v>83</v>
      </c>
      <c r="F409">
        <v>88</v>
      </c>
      <c r="G409">
        <v>222</v>
      </c>
      <c r="H409">
        <v>325</v>
      </c>
      <c r="I409" t="s">
        <v>1036</v>
      </c>
      <c r="J409" t="s">
        <v>83</v>
      </c>
      <c r="L409" t="s">
        <v>1037</v>
      </c>
      <c r="M409" t="s">
        <v>746</v>
      </c>
      <c r="O409" t="s">
        <v>250</v>
      </c>
      <c r="P409" t="s">
        <v>1038</v>
      </c>
      <c r="Q409" t="s">
        <v>1039</v>
      </c>
      <c r="R409">
        <v>2010</v>
      </c>
      <c r="S409" t="s">
        <v>253</v>
      </c>
      <c r="T409">
        <v>5</v>
      </c>
      <c r="V409" t="s">
        <v>1040</v>
      </c>
      <c r="W409" t="s">
        <v>170</v>
      </c>
      <c r="X409" t="s">
        <v>171</v>
      </c>
      <c r="Y409" t="s">
        <v>778</v>
      </c>
      <c r="Z409" t="s">
        <v>779</v>
      </c>
      <c r="AA409" t="s">
        <v>1041</v>
      </c>
      <c r="AB409" t="s">
        <v>1042</v>
      </c>
      <c r="AC409" t="s">
        <v>1043</v>
      </c>
      <c r="AD409" t="s">
        <v>98</v>
      </c>
      <c r="AE409" t="s">
        <v>177</v>
      </c>
      <c r="AF409" t="s">
        <v>260</v>
      </c>
      <c r="AG409" t="s">
        <v>261</v>
      </c>
      <c r="AH409" t="s">
        <v>102</v>
      </c>
      <c r="AI409" t="s">
        <v>134</v>
      </c>
      <c r="AJ409" t="s">
        <v>135</v>
      </c>
      <c r="AM409" t="s">
        <v>178</v>
      </c>
      <c r="AN409" t="s">
        <v>106</v>
      </c>
      <c r="AV409">
        <v>1</v>
      </c>
      <c r="AW409" t="s">
        <v>108</v>
      </c>
      <c r="AX409">
        <v>20</v>
      </c>
      <c r="AY409" t="s">
        <v>134</v>
      </c>
      <c r="AZ409" t="s">
        <v>109</v>
      </c>
      <c r="BA409" t="s">
        <v>180</v>
      </c>
      <c r="BB409">
        <v>20</v>
      </c>
      <c r="BC409">
        <v>25</v>
      </c>
      <c r="BD409">
        <v>0.5</v>
      </c>
      <c r="BE409" t="s">
        <v>139</v>
      </c>
      <c r="BG409">
        <v>0.1</v>
      </c>
      <c r="BP409">
        <v>16</v>
      </c>
      <c r="BS409" t="s">
        <v>230</v>
      </c>
      <c r="BU409" t="s">
        <v>1052</v>
      </c>
      <c r="BV409">
        <v>40.200000000000003</v>
      </c>
      <c r="BW409">
        <v>0.52060969999999995</v>
      </c>
      <c r="BX409">
        <v>30</v>
      </c>
      <c r="BY409">
        <v>40.94</v>
      </c>
      <c r="BZ409">
        <v>0.44767600000000002</v>
      </c>
      <c r="CA409">
        <v>30</v>
      </c>
      <c r="CB409" t="s">
        <v>113</v>
      </c>
      <c r="CC409" t="s">
        <v>1045</v>
      </c>
    </row>
    <row r="410" spans="1:81" x14ac:dyDescent="0.25">
      <c r="A410" t="s">
        <v>81</v>
      </c>
      <c r="B410">
        <v>409</v>
      </c>
      <c r="C410">
        <v>3</v>
      </c>
      <c r="D410">
        <v>3</v>
      </c>
      <c r="E410">
        <v>83</v>
      </c>
      <c r="F410">
        <v>88</v>
      </c>
      <c r="G410">
        <v>223</v>
      </c>
      <c r="H410">
        <v>325</v>
      </c>
      <c r="I410" t="s">
        <v>1036</v>
      </c>
      <c r="J410" t="s">
        <v>83</v>
      </c>
      <c r="L410" t="s">
        <v>1037</v>
      </c>
      <c r="M410" t="s">
        <v>746</v>
      </c>
      <c r="O410" t="s">
        <v>250</v>
      </c>
      <c r="P410" t="s">
        <v>1038</v>
      </c>
      <c r="Q410" t="s">
        <v>1039</v>
      </c>
      <c r="R410">
        <v>2010</v>
      </c>
      <c r="S410" t="s">
        <v>253</v>
      </c>
      <c r="T410">
        <v>5</v>
      </c>
      <c r="V410" t="s">
        <v>1040</v>
      </c>
      <c r="W410" t="s">
        <v>170</v>
      </c>
      <c r="X410" t="s">
        <v>171</v>
      </c>
      <c r="Y410" t="s">
        <v>778</v>
      </c>
      <c r="Z410" t="s">
        <v>779</v>
      </c>
      <c r="AA410" t="s">
        <v>1041</v>
      </c>
      <c r="AB410" t="s">
        <v>1042</v>
      </c>
      <c r="AC410" t="s">
        <v>1043</v>
      </c>
      <c r="AD410" t="s">
        <v>98</v>
      </c>
      <c r="AE410" t="s">
        <v>177</v>
      </c>
      <c r="AF410" t="s">
        <v>260</v>
      </c>
      <c r="AG410" t="s">
        <v>261</v>
      </c>
      <c r="AH410" t="s">
        <v>102</v>
      </c>
      <c r="AI410" t="s">
        <v>134</v>
      </c>
      <c r="AJ410" t="s">
        <v>135</v>
      </c>
      <c r="AM410" t="s">
        <v>178</v>
      </c>
      <c r="AN410" t="s">
        <v>106</v>
      </c>
      <c r="AV410">
        <v>1</v>
      </c>
      <c r="AW410" t="s">
        <v>108</v>
      </c>
      <c r="AX410">
        <v>20</v>
      </c>
      <c r="AY410" t="s">
        <v>134</v>
      </c>
      <c r="AZ410" t="s">
        <v>109</v>
      </c>
      <c r="BA410" t="s">
        <v>180</v>
      </c>
      <c r="BB410">
        <v>10</v>
      </c>
      <c r="BC410">
        <v>20</v>
      </c>
      <c r="BD410">
        <v>0.5</v>
      </c>
      <c r="BE410" t="s">
        <v>139</v>
      </c>
      <c r="BG410">
        <v>0.1</v>
      </c>
      <c r="BP410">
        <v>16</v>
      </c>
      <c r="BS410" t="s">
        <v>230</v>
      </c>
      <c r="BU410" t="s">
        <v>1053</v>
      </c>
      <c r="BV410">
        <v>41.95</v>
      </c>
      <c r="BW410">
        <v>0.55382679999999995</v>
      </c>
      <c r="BX410">
        <v>30</v>
      </c>
      <c r="BY410">
        <v>42.523330000000001</v>
      </c>
      <c r="BZ410">
        <v>0.77043799999999996</v>
      </c>
      <c r="CA410">
        <v>30</v>
      </c>
      <c r="CB410" t="s">
        <v>113</v>
      </c>
      <c r="CC410" t="s">
        <v>1045</v>
      </c>
    </row>
    <row r="411" spans="1:81" x14ac:dyDescent="0.25">
      <c r="A411" t="s">
        <v>81</v>
      </c>
      <c r="B411">
        <v>410</v>
      </c>
      <c r="C411">
        <v>3</v>
      </c>
      <c r="D411">
        <v>3</v>
      </c>
      <c r="E411">
        <v>83</v>
      </c>
      <c r="F411">
        <v>88</v>
      </c>
      <c r="G411">
        <v>223</v>
      </c>
      <c r="H411">
        <v>325</v>
      </c>
      <c r="I411" t="s">
        <v>1036</v>
      </c>
      <c r="J411" t="s">
        <v>83</v>
      </c>
      <c r="L411" t="s">
        <v>1037</v>
      </c>
      <c r="M411" t="s">
        <v>746</v>
      </c>
      <c r="O411" t="s">
        <v>250</v>
      </c>
      <c r="P411" t="s">
        <v>1038</v>
      </c>
      <c r="Q411" t="s">
        <v>1039</v>
      </c>
      <c r="R411">
        <v>2010</v>
      </c>
      <c r="S411" t="s">
        <v>253</v>
      </c>
      <c r="T411">
        <v>5</v>
      </c>
      <c r="V411" t="s">
        <v>1040</v>
      </c>
      <c r="W411" t="s">
        <v>170</v>
      </c>
      <c r="X411" t="s">
        <v>171</v>
      </c>
      <c r="Y411" t="s">
        <v>778</v>
      </c>
      <c r="Z411" t="s">
        <v>779</v>
      </c>
      <c r="AA411" t="s">
        <v>1041</v>
      </c>
      <c r="AB411" t="s">
        <v>1042</v>
      </c>
      <c r="AC411" t="s">
        <v>1043</v>
      </c>
      <c r="AD411" t="s">
        <v>98</v>
      </c>
      <c r="AE411" t="s">
        <v>177</v>
      </c>
      <c r="AF411" t="s">
        <v>260</v>
      </c>
      <c r="AG411" t="s">
        <v>261</v>
      </c>
      <c r="AH411" t="s">
        <v>102</v>
      </c>
      <c r="AI411" t="s">
        <v>134</v>
      </c>
      <c r="AJ411" t="s">
        <v>135</v>
      </c>
      <c r="AM411" t="s">
        <v>178</v>
      </c>
      <c r="AN411" t="s">
        <v>106</v>
      </c>
      <c r="AV411">
        <v>1</v>
      </c>
      <c r="AW411" t="s">
        <v>108</v>
      </c>
      <c r="AX411">
        <v>20</v>
      </c>
      <c r="AY411" t="s">
        <v>134</v>
      </c>
      <c r="AZ411" t="s">
        <v>109</v>
      </c>
      <c r="BA411" t="s">
        <v>180</v>
      </c>
      <c r="BB411">
        <v>20</v>
      </c>
      <c r="BC411">
        <v>25</v>
      </c>
      <c r="BD411">
        <v>0.5</v>
      </c>
      <c r="BE411" t="s">
        <v>139</v>
      </c>
      <c r="BG411">
        <v>0.1</v>
      </c>
      <c r="BP411">
        <v>16</v>
      </c>
      <c r="BS411" t="s">
        <v>230</v>
      </c>
      <c r="BU411" t="s">
        <v>1053</v>
      </c>
      <c r="BV411">
        <v>42.523330000000001</v>
      </c>
      <c r="BW411">
        <v>0.77043799999999996</v>
      </c>
      <c r="BX411">
        <v>30</v>
      </c>
      <c r="BY411">
        <v>42.583329999999997</v>
      </c>
      <c r="BZ411">
        <v>0.50246519999999995</v>
      </c>
      <c r="CA411">
        <v>30</v>
      </c>
      <c r="CB411" t="s">
        <v>113</v>
      </c>
      <c r="CC411" t="s">
        <v>1045</v>
      </c>
    </row>
    <row r="412" spans="1:81" x14ac:dyDescent="0.25">
      <c r="A412" t="s">
        <v>81</v>
      </c>
      <c r="B412">
        <v>411</v>
      </c>
      <c r="C412">
        <v>3</v>
      </c>
      <c r="D412">
        <v>3</v>
      </c>
      <c r="E412">
        <v>84</v>
      </c>
      <c r="F412">
        <v>89</v>
      </c>
      <c r="G412">
        <v>224</v>
      </c>
      <c r="H412">
        <v>326</v>
      </c>
      <c r="I412" t="s">
        <v>1036</v>
      </c>
      <c r="J412" t="s">
        <v>83</v>
      </c>
      <c r="L412" t="s">
        <v>1037</v>
      </c>
      <c r="M412" t="s">
        <v>746</v>
      </c>
      <c r="O412" t="s">
        <v>250</v>
      </c>
      <c r="P412" t="s">
        <v>1038</v>
      </c>
      <c r="Q412" t="s">
        <v>1039</v>
      </c>
      <c r="R412">
        <v>2010</v>
      </c>
      <c r="S412" t="s">
        <v>253</v>
      </c>
      <c r="T412">
        <v>5</v>
      </c>
      <c r="V412" t="s">
        <v>1040</v>
      </c>
      <c r="W412" t="s">
        <v>170</v>
      </c>
      <c r="X412" t="s">
        <v>171</v>
      </c>
      <c r="Y412" t="s">
        <v>778</v>
      </c>
      <c r="Z412" t="s">
        <v>779</v>
      </c>
      <c r="AA412" t="s">
        <v>1041</v>
      </c>
      <c r="AB412" t="s">
        <v>1042</v>
      </c>
      <c r="AC412" t="s">
        <v>1043</v>
      </c>
      <c r="AD412" t="s">
        <v>98</v>
      </c>
      <c r="AE412" t="s">
        <v>177</v>
      </c>
      <c r="AF412" t="s">
        <v>260</v>
      </c>
      <c r="AG412" t="s">
        <v>261</v>
      </c>
      <c r="AH412" t="s">
        <v>102</v>
      </c>
      <c r="AI412" t="s">
        <v>134</v>
      </c>
      <c r="AJ412" t="s">
        <v>135</v>
      </c>
      <c r="AM412" t="s">
        <v>178</v>
      </c>
      <c r="AN412" t="s">
        <v>106</v>
      </c>
      <c r="AV412">
        <v>1</v>
      </c>
      <c r="AW412" t="s">
        <v>108</v>
      </c>
      <c r="AX412">
        <v>20</v>
      </c>
      <c r="AY412" t="s">
        <v>134</v>
      </c>
      <c r="AZ412" t="s">
        <v>109</v>
      </c>
      <c r="BA412" t="s">
        <v>180</v>
      </c>
      <c r="BB412">
        <v>10</v>
      </c>
      <c r="BC412">
        <v>20</v>
      </c>
      <c r="BD412">
        <v>0.5</v>
      </c>
      <c r="BE412" t="s">
        <v>139</v>
      </c>
      <c r="BG412">
        <v>0.1</v>
      </c>
      <c r="BP412">
        <v>16</v>
      </c>
      <c r="BS412" t="s">
        <v>230</v>
      </c>
      <c r="BU412" t="s">
        <v>1054</v>
      </c>
      <c r="BV412">
        <v>39.053330000000003</v>
      </c>
      <c r="BW412">
        <v>0.81610229999999995</v>
      </c>
      <c r="BX412">
        <v>30</v>
      </c>
      <c r="BY412">
        <v>40.356670000000001</v>
      </c>
      <c r="BZ412">
        <v>0.29790460000000002</v>
      </c>
      <c r="CA412">
        <v>30</v>
      </c>
      <c r="CB412" t="s">
        <v>113</v>
      </c>
      <c r="CC412" t="s">
        <v>1045</v>
      </c>
    </row>
    <row r="413" spans="1:81" x14ac:dyDescent="0.25">
      <c r="A413" t="s">
        <v>81</v>
      </c>
      <c r="B413">
        <v>412</v>
      </c>
      <c r="C413">
        <v>3</v>
      </c>
      <c r="D413">
        <v>3</v>
      </c>
      <c r="E413">
        <v>84</v>
      </c>
      <c r="F413">
        <v>89</v>
      </c>
      <c r="G413">
        <v>224</v>
      </c>
      <c r="H413">
        <v>326</v>
      </c>
      <c r="I413" t="s">
        <v>1036</v>
      </c>
      <c r="J413" t="s">
        <v>83</v>
      </c>
      <c r="L413" t="s">
        <v>1037</v>
      </c>
      <c r="M413" t="s">
        <v>746</v>
      </c>
      <c r="O413" t="s">
        <v>250</v>
      </c>
      <c r="P413" t="s">
        <v>1038</v>
      </c>
      <c r="Q413" t="s">
        <v>1039</v>
      </c>
      <c r="R413">
        <v>2010</v>
      </c>
      <c r="S413" t="s">
        <v>253</v>
      </c>
      <c r="T413">
        <v>5</v>
      </c>
      <c r="V413" t="s">
        <v>1040</v>
      </c>
      <c r="W413" t="s">
        <v>170</v>
      </c>
      <c r="X413" t="s">
        <v>171</v>
      </c>
      <c r="Y413" t="s">
        <v>778</v>
      </c>
      <c r="Z413" t="s">
        <v>779</v>
      </c>
      <c r="AA413" t="s">
        <v>1041</v>
      </c>
      <c r="AB413" t="s">
        <v>1042</v>
      </c>
      <c r="AC413" t="s">
        <v>1043</v>
      </c>
      <c r="AD413" t="s">
        <v>98</v>
      </c>
      <c r="AE413" t="s">
        <v>177</v>
      </c>
      <c r="AF413" t="s">
        <v>260</v>
      </c>
      <c r="AG413" t="s">
        <v>261</v>
      </c>
      <c r="AH413" t="s">
        <v>102</v>
      </c>
      <c r="AI413" t="s">
        <v>134</v>
      </c>
      <c r="AJ413" t="s">
        <v>135</v>
      </c>
      <c r="AM413" t="s">
        <v>178</v>
      </c>
      <c r="AN413" t="s">
        <v>106</v>
      </c>
      <c r="AV413">
        <v>1</v>
      </c>
      <c r="AW413" t="s">
        <v>108</v>
      </c>
      <c r="AX413">
        <v>20</v>
      </c>
      <c r="AY413" t="s">
        <v>134</v>
      </c>
      <c r="AZ413" t="s">
        <v>109</v>
      </c>
      <c r="BA413" t="s">
        <v>180</v>
      </c>
      <c r="BB413">
        <v>20</v>
      </c>
      <c r="BC413">
        <v>25</v>
      </c>
      <c r="BD413">
        <v>0.5</v>
      </c>
      <c r="BE413" t="s">
        <v>139</v>
      </c>
      <c r="BG413">
        <v>0.1</v>
      </c>
      <c r="BP413">
        <v>16</v>
      </c>
      <c r="BS413" t="s">
        <v>230</v>
      </c>
      <c r="BU413" t="s">
        <v>1055</v>
      </c>
      <c r="BV413">
        <v>40.356670000000001</v>
      </c>
      <c r="BW413">
        <v>0.29790460000000002</v>
      </c>
      <c r="BX413">
        <v>30</v>
      </c>
      <c r="BY413">
        <v>40.193330000000003</v>
      </c>
      <c r="BZ413">
        <v>0.623081</v>
      </c>
      <c r="CA413">
        <v>30</v>
      </c>
      <c r="CB413" t="s">
        <v>113</v>
      </c>
      <c r="CC413" t="s">
        <v>1045</v>
      </c>
    </row>
    <row r="414" spans="1:81" x14ac:dyDescent="0.25">
      <c r="A414" t="s">
        <v>81</v>
      </c>
      <c r="B414">
        <v>413</v>
      </c>
      <c r="C414">
        <v>3</v>
      </c>
      <c r="D414">
        <v>3</v>
      </c>
      <c r="E414">
        <v>84</v>
      </c>
      <c r="F414">
        <v>89</v>
      </c>
      <c r="G414">
        <v>225</v>
      </c>
      <c r="H414">
        <v>326</v>
      </c>
      <c r="I414" t="s">
        <v>1036</v>
      </c>
      <c r="J414" t="s">
        <v>83</v>
      </c>
      <c r="L414" t="s">
        <v>1037</v>
      </c>
      <c r="M414" t="s">
        <v>746</v>
      </c>
      <c r="O414" t="s">
        <v>250</v>
      </c>
      <c r="P414" t="s">
        <v>1038</v>
      </c>
      <c r="Q414" t="s">
        <v>1039</v>
      </c>
      <c r="R414">
        <v>2010</v>
      </c>
      <c r="S414" t="s">
        <v>253</v>
      </c>
      <c r="T414">
        <v>5</v>
      </c>
      <c r="V414" t="s">
        <v>1040</v>
      </c>
      <c r="W414" t="s">
        <v>170</v>
      </c>
      <c r="X414" t="s">
        <v>171</v>
      </c>
      <c r="Y414" t="s">
        <v>778</v>
      </c>
      <c r="Z414" t="s">
        <v>779</v>
      </c>
      <c r="AA414" t="s">
        <v>1041</v>
      </c>
      <c r="AB414" t="s">
        <v>1042</v>
      </c>
      <c r="AC414" t="s">
        <v>1043</v>
      </c>
      <c r="AD414" t="s">
        <v>98</v>
      </c>
      <c r="AE414" t="s">
        <v>177</v>
      </c>
      <c r="AF414" t="s">
        <v>260</v>
      </c>
      <c r="AG414" t="s">
        <v>261</v>
      </c>
      <c r="AH414" t="s">
        <v>102</v>
      </c>
      <c r="AI414" t="s">
        <v>134</v>
      </c>
      <c r="AJ414" t="s">
        <v>135</v>
      </c>
      <c r="AM414" t="s">
        <v>178</v>
      </c>
      <c r="AN414" t="s">
        <v>106</v>
      </c>
      <c r="AV414">
        <v>1</v>
      </c>
      <c r="AW414" t="s">
        <v>108</v>
      </c>
      <c r="AX414">
        <v>20</v>
      </c>
      <c r="AY414" t="s">
        <v>134</v>
      </c>
      <c r="AZ414" t="s">
        <v>109</v>
      </c>
      <c r="BA414" t="s">
        <v>180</v>
      </c>
      <c r="BB414">
        <v>10</v>
      </c>
      <c r="BC414">
        <v>20</v>
      </c>
      <c r="BD414">
        <v>0.5</v>
      </c>
      <c r="BE414" t="s">
        <v>139</v>
      </c>
      <c r="BG414">
        <v>0.1</v>
      </c>
      <c r="BP414">
        <v>16</v>
      </c>
      <c r="BS414" t="s">
        <v>230</v>
      </c>
      <c r="BU414" t="s">
        <v>1056</v>
      </c>
      <c r="BV414">
        <v>42.022579999999998</v>
      </c>
      <c r="BW414">
        <v>0.4096419</v>
      </c>
      <c r="BX414">
        <v>31</v>
      </c>
      <c r="BY414">
        <v>41.836669999999998</v>
      </c>
      <c r="BZ414">
        <v>0.67593270000000005</v>
      </c>
      <c r="CA414">
        <v>30</v>
      </c>
      <c r="CB414" t="s">
        <v>113</v>
      </c>
      <c r="CC414" t="s">
        <v>1045</v>
      </c>
    </row>
    <row r="415" spans="1:81" x14ac:dyDescent="0.25">
      <c r="A415" t="s">
        <v>81</v>
      </c>
      <c r="B415">
        <v>414</v>
      </c>
      <c r="C415">
        <v>3</v>
      </c>
      <c r="D415">
        <v>3</v>
      </c>
      <c r="E415">
        <v>84</v>
      </c>
      <c r="F415">
        <v>89</v>
      </c>
      <c r="G415">
        <v>225</v>
      </c>
      <c r="H415">
        <v>326</v>
      </c>
      <c r="I415" t="s">
        <v>1036</v>
      </c>
      <c r="J415" t="s">
        <v>83</v>
      </c>
      <c r="L415" t="s">
        <v>1037</v>
      </c>
      <c r="M415" t="s">
        <v>746</v>
      </c>
      <c r="O415" t="s">
        <v>250</v>
      </c>
      <c r="P415" t="s">
        <v>1038</v>
      </c>
      <c r="Q415" t="s">
        <v>1039</v>
      </c>
      <c r="R415">
        <v>2010</v>
      </c>
      <c r="S415" t="s">
        <v>253</v>
      </c>
      <c r="T415">
        <v>5</v>
      </c>
      <c r="V415" t="s">
        <v>1040</v>
      </c>
      <c r="W415" t="s">
        <v>170</v>
      </c>
      <c r="X415" t="s">
        <v>171</v>
      </c>
      <c r="Y415" t="s">
        <v>778</v>
      </c>
      <c r="Z415" t="s">
        <v>779</v>
      </c>
      <c r="AA415" t="s">
        <v>1041</v>
      </c>
      <c r="AB415" t="s">
        <v>1042</v>
      </c>
      <c r="AC415" t="s">
        <v>1043</v>
      </c>
      <c r="AD415" t="s">
        <v>98</v>
      </c>
      <c r="AE415" t="s">
        <v>177</v>
      </c>
      <c r="AF415" t="s">
        <v>260</v>
      </c>
      <c r="AG415" t="s">
        <v>261</v>
      </c>
      <c r="AH415" t="s">
        <v>102</v>
      </c>
      <c r="AI415" t="s">
        <v>134</v>
      </c>
      <c r="AJ415" t="s">
        <v>135</v>
      </c>
      <c r="AM415" t="s">
        <v>178</v>
      </c>
      <c r="AN415" t="s">
        <v>106</v>
      </c>
      <c r="AV415">
        <v>1</v>
      </c>
      <c r="AW415" t="s">
        <v>108</v>
      </c>
      <c r="AX415">
        <v>20</v>
      </c>
      <c r="AY415" t="s">
        <v>134</v>
      </c>
      <c r="AZ415" t="s">
        <v>109</v>
      </c>
      <c r="BA415" t="s">
        <v>180</v>
      </c>
      <c r="BB415">
        <v>20</v>
      </c>
      <c r="BC415">
        <v>25</v>
      </c>
      <c r="BD415">
        <v>0.5</v>
      </c>
      <c r="BE415" t="s">
        <v>139</v>
      </c>
      <c r="BG415">
        <v>0.1</v>
      </c>
      <c r="BP415">
        <v>16</v>
      </c>
      <c r="BS415" t="s">
        <v>230</v>
      </c>
      <c r="BU415" t="s">
        <v>1056</v>
      </c>
      <c r="BV415">
        <v>41.836669999999998</v>
      </c>
      <c r="BW415">
        <v>0.67593270000000005</v>
      </c>
      <c r="BX415">
        <v>30</v>
      </c>
      <c r="BY415">
        <v>42.264519999999997</v>
      </c>
      <c r="BZ415">
        <v>0.62211919999999998</v>
      </c>
      <c r="CA415">
        <v>31</v>
      </c>
      <c r="CB415" t="s">
        <v>113</v>
      </c>
      <c r="CC415" t="s">
        <v>1045</v>
      </c>
    </row>
    <row r="416" spans="1:81" x14ac:dyDescent="0.25">
      <c r="A416" t="s">
        <v>81</v>
      </c>
      <c r="B416">
        <v>415</v>
      </c>
      <c r="C416">
        <v>3</v>
      </c>
      <c r="D416">
        <v>3</v>
      </c>
      <c r="E416">
        <v>85</v>
      </c>
      <c r="F416">
        <v>90</v>
      </c>
      <c r="G416">
        <v>226</v>
      </c>
      <c r="H416">
        <v>327</v>
      </c>
      <c r="I416" t="s">
        <v>1036</v>
      </c>
      <c r="J416" t="s">
        <v>83</v>
      </c>
      <c r="L416" t="s">
        <v>1037</v>
      </c>
      <c r="M416" t="s">
        <v>746</v>
      </c>
      <c r="O416" t="s">
        <v>250</v>
      </c>
      <c r="P416" t="s">
        <v>1038</v>
      </c>
      <c r="Q416" t="s">
        <v>1039</v>
      </c>
      <c r="R416">
        <v>2010</v>
      </c>
      <c r="S416" t="s">
        <v>253</v>
      </c>
      <c r="T416">
        <v>5</v>
      </c>
      <c r="V416" t="s">
        <v>1040</v>
      </c>
      <c r="W416" t="s">
        <v>170</v>
      </c>
      <c r="X416" t="s">
        <v>171</v>
      </c>
      <c r="Y416" t="s">
        <v>778</v>
      </c>
      <c r="Z416" t="s">
        <v>779</v>
      </c>
      <c r="AA416" t="s">
        <v>1041</v>
      </c>
      <c r="AB416" t="s">
        <v>1042</v>
      </c>
      <c r="AC416" t="s">
        <v>1043</v>
      </c>
      <c r="AD416" t="s">
        <v>98</v>
      </c>
      <c r="AE416" t="s">
        <v>177</v>
      </c>
      <c r="AF416" t="s">
        <v>260</v>
      </c>
      <c r="AG416" t="s">
        <v>261</v>
      </c>
      <c r="AH416" t="s">
        <v>102</v>
      </c>
      <c r="AI416" t="s">
        <v>134</v>
      </c>
      <c r="AJ416" t="s">
        <v>135</v>
      </c>
      <c r="AM416" t="s">
        <v>178</v>
      </c>
      <c r="AN416" t="s">
        <v>106</v>
      </c>
      <c r="AV416">
        <v>1</v>
      </c>
      <c r="AW416" t="s">
        <v>108</v>
      </c>
      <c r="AX416">
        <v>20</v>
      </c>
      <c r="AY416" t="s">
        <v>134</v>
      </c>
      <c r="AZ416" t="s">
        <v>109</v>
      </c>
      <c r="BA416" t="s">
        <v>180</v>
      </c>
      <c r="BB416">
        <v>10</v>
      </c>
      <c r="BC416">
        <v>20</v>
      </c>
      <c r="BD416">
        <v>0.5</v>
      </c>
      <c r="BE416" t="s">
        <v>139</v>
      </c>
      <c r="BG416">
        <v>0.1</v>
      </c>
      <c r="BH416" s="14"/>
      <c r="BP416">
        <v>16</v>
      </c>
      <c r="BS416" t="s">
        <v>230</v>
      </c>
      <c r="BU416" t="s">
        <v>1057</v>
      </c>
      <c r="BV416">
        <v>39.32667</v>
      </c>
      <c r="BW416">
        <v>0.57711129999999999</v>
      </c>
      <c r="BX416">
        <v>30</v>
      </c>
      <c r="BY416">
        <v>40.156669999999998</v>
      </c>
      <c r="BZ416">
        <v>0.87284050000000002</v>
      </c>
      <c r="CA416">
        <v>30</v>
      </c>
      <c r="CB416" t="s">
        <v>113</v>
      </c>
      <c r="CC416" t="s">
        <v>1045</v>
      </c>
    </row>
    <row r="417" spans="1:81" x14ac:dyDescent="0.25">
      <c r="A417" t="s">
        <v>81</v>
      </c>
      <c r="B417">
        <v>416</v>
      </c>
      <c r="C417">
        <v>3</v>
      </c>
      <c r="D417">
        <v>3</v>
      </c>
      <c r="E417">
        <v>85</v>
      </c>
      <c r="F417">
        <v>90</v>
      </c>
      <c r="G417">
        <v>226</v>
      </c>
      <c r="H417">
        <v>327</v>
      </c>
      <c r="I417" t="s">
        <v>1036</v>
      </c>
      <c r="J417" t="s">
        <v>83</v>
      </c>
      <c r="L417" t="s">
        <v>1037</v>
      </c>
      <c r="M417" t="s">
        <v>746</v>
      </c>
      <c r="O417" t="s">
        <v>250</v>
      </c>
      <c r="P417" t="s">
        <v>1038</v>
      </c>
      <c r="Q417" t="s">
        <v>1039</v>
      </c>
      <c r="R417">
        <v>2010</v>
      </c>
      <c r="S417" t="s">
        <v>253</v>
      </c>
      <c r="T417">
        <v>5</v>
      </c>
      <c r="V417" t="s">
        <v>1040</v>
      </c>
      <c r="W417" t="s">
        <v>170</v>
      </c>
      <c r="X417" t="s">
        <v>171</v>
      </c>
      <c r="Y417" t="s">
        <v>778</v>
      </c>
      <c r="Z417" t="s">
        <v>779</v>
      </c>
      <c r="AA417" t="s">
        <v>1041</v>
      </c>
      <c r="AB417" t="s">
        <v>1042</v>
      </c>
      <c r="AC417" t="s">
        <v>1043</v>
      </c>
      <c r="AD417" t="s">
        <v>98</v>
      </c>
      <c r="AE417" t="s">
        <v>177</v>
      </c>
      <c r="AF417" t="s">
        <v>260</v>
      </c>
      <c r="AG417" t="s">
        <v>261</v>
      </c>
      <c r="AH417" t="s">
        <v>102</v>
      </c>
      <c r="AI417" t="s">
        <v>134</v>
      </c>
      <c r="AJ417" t="s">
        <v>135</v>
      </c>
      <c r="AM417" t="s">
        <v>178</v>
      </c>
      <c r="AN417" t="s">
        <v>106</v>
      </c>
      <c r="AV417">
        <v>1</v>
      </c>
      <c r="AW417" t="s">
        <v>108</v>
      </c>
      <c r="AX417">
        <v>20</v>
      </c>
      <c r="AY417" t="s">
        <v>134</v>
      </c>
      <c r="AZ417" t="s">
        <v>109</v>
      </c>
      <c r="BA417" t="s">
        <v>180</v>
      </c>
      <c r="BB417">
        <v>20</v>
      </c>
      <c r="BC417">
        <v>25</v>
      </c>
      <c r="BD417">
        <v>0.5</v>
      </c>
      <c r="BE417" t="s">
        <v>139</v>
      </c>
      <c r="BG417">
        <v>0.1</v>
      </c>
      <c r="BP417">
        <v>16</v>
      </c>
      <c r="BS417" t="s">
        <v>230</v>
      </c>
      <c r="BU417" t="s">
        <v>1058</v>
      </c>
      <c r="BV417">
        <v>40.156669999999998</v>
      </c>
      <c r="BW417">
        <v>0.87284050000000002</v>
      </c>
      <c r="BX417">
        <v>30</v>
      </c>
      <c r="BY417">
        <v>40.443330000000003</v>
      </c>
      <c r="BZ417">
        <v>1.2380974</v>
      </c>
      <c r="CA417">
        <v>30</v>
      </c>
      <c r="CB417" t="s">
        <v>113</v>
      </c>
      <c r="CC417" t="s">
        <v>1045</v>
      </c>
    </row>
    <row r="418" spans="1:81" x14ac:dyDescent="0.25">
      <c r="A418" t="s">
        <v>81</v>
      </c>
      <c r="B418">
        <v>417</v>
      </c>
      <c r="C418">
        <v>3</v>
      </c>
      <c r="D418">
        <v>3</v>
      </c>
      <c r="E418">
        <v>85</v>
      </c>
      <c r="F418">
        <v>90</v>
      </c>
      <c r="G418">
        <v>227</v>
      </c>
      <c r="H418">
        <v>327</v>
      </c>
      <c r="I418" t="s">
        <v>1036</v>
      </c>
      <c r="J418" t="s">
        <v>83</v>
      </c>
      <c r="L418" t="s">
        <v>1037</v>
      </c>
      <c r="M418" t="s">
        <v>746</v>
      </c>
      <c r="O418" t="s">
        <v>250</v>
      </c>
      <c r="P418" t="s">
        <v>1038</v>
      </c>
      <c r="Q418" t="s">
        <v>1039</v>
      </c>
      <c r="R418">
        <v>2010</v>
      </c>
      <c r="S418" t="s">
        <v>253</v>
      </c>
      <c r="T418">
        <v>5</v>
      </c>
      <c r="V418" t="s">
        <v>1040</v>
      </c>
      <c r="W418" t="s">
        <v>170</v>
      </c>
      <c r="X418" t="s">
        <v>171</v>
      </c>
      <c r="Y418" t="s">
        <v>778</v>
      </c>
      <c r="Z418" t="s">
        <v>779</v>
      </c>
      <c r="AA418" t="s">
        <v>1041</v>
      </c>
      <c r="AB418" t="s">
        <v>1042</v>
      </c>
      <c r="AC418" t="s">
        <v>1043</v>
      </c>
      <c r="AD418" t="s">
        <v>98</v>
      </c>
      <c r="AE418" t="s">
        <v>177</v>
      </c>
      <c r="AF418" t="s">
        <v>260</v>
      </c>
      <c r="AG418" t="s">
        <v>261</v>
      </c>
      <c r="AH418" t="s">
        <v>102</v>
      </c>
      <c r="AI418" t="s">
        <v>134</v>
      </c>
      <c r="AJ418" t="s">
        <v>135</v>
      </c>
      <c r="AM418" t="s">
        <v>178</v>
      </c>
      <c r="AN418" t="s">
        <v>106</v>
      </c>
      <c r="AV418">
        <v>1</v>
      </c>
      <c r="AW418" t="s">
        <v>108</v>
      </c>
      <c r="AX418">
        <v>20</v>
      </c>
      <c r="AY418" t="s">
        <v>134</v>
      </c>
      <c r="AZ418" t="s">
        <v>109</v>
      </c>
      <c r="BA418" t="s">
        <v>180</v>
      </c>
      <c r="BB418">
        <v>10</v>
      </c>
      <c r="BC418">
        <v>20</v>
      </c>
      <c r="BD418">
        <v>0.5</v>
      </c>
      <c r="BE418" t="s">
        <v>139</v>
      </c>
      <c r="BG418">
        <v>0.1</v>
      </c>
      <c r="BP418">
        <v>16</v>
      </c>
      <c r="BS418" t="s">
        <v>230</v>
      </c>
      <c r="BU418" t="s">
        <v>1059</v>
      </c>
      <c r="BV418">
        <v>41.848390000000002</v>
      </c>
      <c r="BW418">
        <v>0.80077920000000002</v>
      </c>
      <c r="BX418">
        <v>31</v>
      </c>
      <c r="BY418">
        <v>41.9129</v>
      </c>
      <c r="BZ418">
        <v>0.3818743</v>
      </c>
      <c r="CA418">
        <v>31</v>
      </c>
      <c r="CB418" t="s">
        <v>113</v>
      </c>
      <c r="CC418" t="s">
        <v>1045</v>
      </c>
    </row>
    <row r="419" spans="1:81" x14ac:dyDescent="0.25">
      <c r="A419" t="s">
        <v>81</v>
      </c>
      <c r="B419">
        <v>418</v>
      </c>
      <c r="C419">
        <v>3</v>
      </c>
      <c r="D419">
        <v>3</v>
      </c>
      <c r="E419">
        <v>85</v>
      </c>
      <c r="F419">
        <v>90</v>
      </c>
      <c r="G419">
        <v>227</v>
      </c>
      <c r="H419">
        <v>327</v>
      </c>
      <c r="I419" t="s">
        <v>1036</v>
      </c>
      <c r="J419" t="s">
        <v>83</v>
      </c>
      <c r="L419" t="s">
        <v>1037</v>
      </c>
      <c r="M419" t="s">
        <v>746</v>
      </c>
      <c r="O419" t="s">
        <v>250</v>
      </c>
      <c r="P419" t="s">
        <v>1038</v>
      </c>
      <c r="Q419" t="s">
        <v>1039</v>
      </c>
      <c r="R419">
        <v>2010</v>
      </c>
      <c r="S419" t="s">
        <v>253</v>
      </c>
      <c r="T419">
        <v>5</v>
      </c>
      <c r="V419" t="s">
        <v>1040</v>
      </c>
      <c r="W419" t="s">
        <v>170</v>
      </c>
      <c r="X419" t="s">
        <v>171</v>
      </c>
      <c r="Y419" t="s">
        <v>778</v>
      </c>
      <c r="Z419" t="s">
        <v>779</v>
      </c>
      <c r="AA419" t="s">
        <v>1041</v>
      </c>
      <c r="AB419" t="s">
        <v>1042</v>
      </c>
      <c r="AC419" t="s">
        <v>1043</v>
      </c>
      <c r="AD419" t="s">
        <v>98</v>
      </c>
      <c r="AE419" t="s">
        <v>177</v>
      </c>
      <c r="AF419" t="s">
        <v>260</v>
      </c>
      <c r="AG419" t="s">
        <v>261</v>
      </c>
      <c r="AH419" t="s">
        <v>102</v>
      </c>
      <c r="AI419" t="s">
        <v>134</v>
      </c>
      <c r="AJ419" t="s">
        <v>135</v>
      </c>
      <c r="AM419" t="s">
        <v>178</v>
      </c>
      <c r="AN419" t="s">
        <v>106</v>
      </c>
      <c r="AV419">
        <v>1</v>
      </c>
      <c r="AW419" t="s">
        <v>108</v>
      </c>
      <c r="AX419">
        <v>20</v>
      </c>
      <c r="AY419" t="s">
        <v>134</v>
      </c>
      <c r="AZ419" t="s">
        <v>109</v>
      </c>
      <c r="BA419" t="s">
        <v>180</v>
      </c>
      <c r="BB419">
        <v>20</v>
      </c>
      <c r="BC419">
        <v>25</v>
      </c>
      <c r="BD419">
        <v>0.5</v>
      </c>
      <c r="BE419" t="s">
        <v>139</v>
      </c>
      <c r="BG419">
        <v>0.1</v>
      </c>
      <c r="BP419">
        <v>16</v>
      </c>
      <c r="BS419" t="s">
        <v>230</v>
      </c>
      <c r="BU419" t="s">
        <v>1059</v>
      </c>
      <c r="BV419">
        <v>41.9129</v>
      </c>
      <c r="BW419">
        <v>0.3818743</v>
      </c>
      <c r="BX419">
        <v>31</v>
      </c>
      <c r="BY419">
        <v>42.024239999999999</v>
      </c>
      <c r="BZ419">
        <v>0.73144989999999999</v>
      </c>
      <c r="CA419">
        <v>33</v>
      </c>
      <c r="CB419" t="s">
        <v>113</v>
      </c>
      <c r="CC419" t="s">
        <v>1045</v>
      </c>
    </row>
    <row r="420" spans="1:81" x14ac:dyDescent="0.25">
      <c r="A420" t="s">
        <v>81</v>
      </c>
      <c r="B420">
        <v>419</v>
      </c>
      <c r="C420">
        <v>3</v>
      </c>
      <c r="D420">
        <v>3</v>
      </c>
      <c r="E420">
        <v>86</v>
      </c>
      <c r="F420">
        <v>91</v>
      </c>
      <c r="G420">
        <v>228</v>
      </c>
      <c r="H420">
        <v>328</v>
      </c>
      <c r="I420" t="s">
        <v>1036</v>
      </c>
      <c r="J420" t="s">
        <v>83</v>
      </c>
      <c r="L420" t="s">
        <v>1037</v>
      </c>
      <c r="M420" t="s">
        <v>746</v>
      </c>
      <c r="O420" t="s">
        <v>250</v>
      </c>
      <c r="P420" t="s">
        <v>1038</v>
      </c>
      <c r="Q420" t="s">
        <v>1039</v>
      </c>
      <c r="R420">
        <v>2010</v>
      </c>
      <c r="S420" t="s">
        <v>253</v>
      </c>
      <c r="T420">
        <v>5</v>
      </c>
      <c r="V420" t="s">
        <v>1040</v>
      </c>
      <c r="W420" t="s">
        <v>170</v>
      </c>
      <c r="X420" t="s">
        <v>171</v>
      </c>
      <c r="Y420" t="s">
        <v>778</v>
      </c>
      <c r="Z420" t="s">
        <v>779</v>
      </c>
      <c r="AA420" t="s">
        <v>1041</v>
      </c>
      <c r="AB420" t="s">
        <v>1042</v>
      </c>
      <c r="AC420" t="s">
        <v>1043</v>
      </c>
      <c r="AD420" t="s">
        <v>98</v>
      </c>
      <c r="AE420" t="s">
        <v>177</v>
      </c>
      <c r="AF420" t="s">
        <v>260</v>
      </c>
      <c r="AG420" t="s">
        <v>261</v>
      </c>
      <c r="AH420" t="s">
        <v>102</v>
      </c>
      <c r="AI420" t="s">
        <v>134</v>
      </c>
      <c r="AJ420" t="s">
        <v>135</v>
      </c>
      <c r="AM420" t="s">
        <v>178</v>
      </c>
      <c r="AN420" t="s">
        <v>106</v>
      </c>
      <c r="AV420">
        <v>1</v>
      </c>
      <c r="AW420" t="s">
        <v>108</v>
      </c>
      <c r="AX420">
        <v>20</v>
      </c>
      <c r="AY420" t="s">
        <v>134</v>
      </c>
      <c r="AZ420" t="s">
        <v>109</v>
      </c>
      <c r="BA420" t="s">
        <v>180</v>
      </c>
      <c r="BB420">
        <v>10</v>
      </c>
      <c r="BC420">
        <v>20</v>
      </c>
      <c r="BD420">
        <v>0.5</v>
      </c>
      <c r="BE420" t="s">
        <v>139</v>
      </c>
      <c r="BG420">
        <v>0.1</v>
      </c>
      <c r="BP420">
        <v>16</v>
      </c>
      <c r="BS420" t="s">
        <v>230</v>
      </c>
      <c r="BU420" t="s">
        <v>1060</v>
      </c>
      <c r="BV420">
        <v>39.616669999999999</v>
      </c>
      <c r="BW420">
        <v>1.3881477</v>
      </c>
      <c r="BX420">
        <v>30</v>
      </c>
      <c r="BY420">
        <v>40.276670000000003</v>
      </c>
      <c r="BZ420">
        <v>0.38923740000000001</v>
      </c>
      <c r="CA420">
        <v>30</v>
      </c>
      <c r="CB420" t="s">
        <v>113</v>
      </c>
      <c r="CC420" t="s">
        <v>1045</v>
      </c>
    </row>
    <row r="421" spans="1:81" x14ac:dyDescent="0.25">
      <c r="A421" t="s">
        <v>81</v>
      </c>
      <c r="B421">
        <v>420</v>
      </c>
      <c r="C421">
        <v>3</v>
      </c>
      <c r="D421">
        <v>3</v>
      </c>
      <c r="E421">
        <v>86</v>
      </c>
      <c r="F421">
        <v>91</v>
      </c>
      <c r="G421">
        <v>228</v>
      </c>
      <c r="H421">
        <v>328</v>
      </c>
      <c r="I421" t="s">
        <v>1036</v>
      </c>
      <c r="J421" t="s">
        <v>83</v>
      </c>
      <c r="L421" t="s">
        <v>1037</v>
      </c>
      <c r="M421" t="s">
        <v>746</v>
      </c>
      <c r="O421" t="s">
        <v>250</v>
      </c>
      <c r="P421" t="s">
        <v>1038</v>
      </c>
      <c r="Q421" t="s">
        <v>1039</v>
      </c>
      <c r="R421">
        <v>2010</v>
      </c>
      <c r="S421" t="s">
        <v>253</v>
      </c>
      <c r="T421">
        <v>5</v>
      </c>
      <c r="V421" t="s">
        <v>1040</v>
      </c>
      <c r="W421" t="s">
        <v>170</v>
      </c>
      <c r="X421" t="s">
        <v>171</v>
      </c>
      <c r="Y421" t="s">
        <v>778</v>
      </c>
      <c r="Z421" t="s">
        <v>779</v>
      </c>
      <c r="AA421" t="s">
        <v>1041</v>
      </c>
      <c r="AB421" t="s">
        <v>1042</v>
      </c>
      <c r="AC421" t="s">
        <v>1043</v>
      </c>
      <c r="AD421" t="s">
        <v>98</v>
      </c>
      <c r="AE421" t="s">
        <v>177</v>
      </c>
      <c r="AF421" t="s">
        <v>260</v>
      </c>
      <c r="AG421" t="s">
        <v>261</v>
      </c>
      <c r="AH421" t="s">
        <v>102</v>
      </c>
      <c r="AI421" t="s">
        <v>134</v>
      </c>
      <c r="AJ421" t="s">
        <v>135</v>
      </c>
      <c r="AM421" t="s">
        <v>178</v>
      </c>
      <c r="AN421" t="s">
        <v>106</v>
      </c>
      <c r="AV421">
        <v>1</v>
      </c>
      <c r="AW421" t="s">
        <v>108</v>
      </c>
      <c r="AX421">
        <v>20</v>
      </c>
      <c r="AY421" t="s">
        <v>134</v>
      </c>
      <c r="AZ421" t="s">
        <v>109</v>
      </c>
      <c r="BA421" t="s">
        <v>180</v>
      </c>
      <c r="BB421">
        <v>20</v>
      </c>
      <c r="BC421">
        <v>25</v>
      </c>
      <c r="BD421">
        <v>0.5</v>
      </c>
      <c r="BE421" t="s">
        <v>139</v>
      </c>
      <c r="BG421">
        <v>0.1</v>
      </c>
      <c r="BP421">
        <v>16</v>
      </c>
      <c r="BS421" t="s">
        <v>230</v>
      </c>
      <c r="BU421" t="s">
        <v>1061</v>
      </c>
      <c r="BV421">
        <v>40.276670000000003</v>
      </c>
      <c r="BW421">
        <v>0.38923740000000001</v>
      </c>
      <c r="BX421">
        <v>30</v>
      </c>
      <c r="BY421">
        <v>40.823329999999999</v>
      </c>
      <c r="BZ421">
        <v>0.43761369999999999</v>
      </c>
      <c r="CA421">
        <v>30</v>
      </c>
      <c r="CB421" t="s">
        <v>113</v>
      </c>
      <c r="CC421" t="s">
        <v>1045</v>
      </c>
    </row>
    <row r="422" spans="1:81" x14ac:dyDescent="0.25">
      <c r="A422" t="s">
        <v>81</v>
      </c>
      <c r="B422">
        <v>421</v>
      </c>
      <c r="C422">
        <v>3</v>
      </c>
      <c r="D422">
        <v>3</v>
      </c>
      <c r="E422">
        <v>86</v>
      </c>
      <c r="F422">
        <v>91</v>
      </c>
      <c r="G422">
        <v>229</v>
      </c>
      <c r="H422">
        <v>328</v>
      </c>
      <c r="I422" t="s">
        <v>1036</v>
      </c>
      <c r="J422" t="s">
        <v>83</v>
      </c>
      <c r="L422" t="s">
        <v>1037</v>
      </c>
      <c r="M422" t="s">
        <v>746</v>
      </c>
      <c r="O422" t="s">
        <v>250</v>
      </c>
      <c r="P422" t="s">
        <v>1038</v>
      </c>
      <c r="Q422" t="s">
        <v>1039</v>
      </c>
      <c r="R422">
        <v>2010</v>
      </c>
      <c r="S422" t="s">
        <v>253</v>
      </c>
      <c r="T422">
        <v>5</v>
      </c>
      <c r="V422" t="s">
        <v>1040</v>
      </c>
      <c r="W422" t="s">
        <v>170</v>
      </c>
      <c r="X422" t="s">
        <v>171</v>
      </c>
      <c r="Y422" t="s">
        <v>778</v>
      </c>
      <c r="Z422" t="s">
        <v>779</v>
      </c>
      <c r="AA422" t="s">
        <v>1041</v>
      </c>
      <c r="AB422" t="s">
        <v>1042</v>
      </c>
      <c r="AC422" t="s">
        <v>1043</v>
      </c>
      <c r="AD422" t="s">
        <v>98</v>
      </c>
      <c r="AE422" t="s">
        <v>177</v>
      </c>
      <c r="AF422" t="s">
        <v>260</v>
      </c>
      <c r="AG422" t="s">
        <v>261</v>
      </c>
      <c r="AH422" t="s">
        <v>102</v>
      </c>
      <c r="AI422" t="s">
        <v>134</v>
      </c>
      <c r="AJ422" t="s">
        <v>135</v>
      </c>
      <c r="AM422" t="s">
        <v>178</v>
      </c>
      <c r="AN422" t="s">
        <v>106</v>
      </c>
      <c r="AV422">
        <v>1</v>
      </c>
      <c r="AW422" t="s">
        <v>108</v>
      </c>
      <c r="AX422">
        <v>20</v>
      </c>
      <c r="AY422" t="s">
        <v>134</v>
      </c>
      <c r="AZ422" t="s">
        <v>109</v>
      </c>
      <c r="BA422" t="s">
        <v>180</v>
      </c>
      <c r="BB422">
        <v>10</v>
      </c>
      <c r="BC422">
        <v>20</v>
      </c>
      <c r="BD422">
        <v>0.5</v>
      </c>
      <c r="BE422" t="s">
        <v>139</v>
      </c>
      <c r="BG422">
        <v>0.1</v>
      </c>
      <c r="BP422">
        <v>16</v>
      </c>
      <c r="BS422" t="s">
        <v>230</v>
      </c>
      <c r="BU422" t="s">
        <v>1062</v>
      </c>
      <c r="BV422">
        <v>41.973329999999997</v>
      </c>
      <c r="BW422">
        <v>0.47773409999999999</v>
      </c>
      <c r="BX422">
        <v>30</v>
      </c>
      <c r="BY422">
        <v>41.676670000000001</v>
      </c>
      <c r="BZ422">
        <v>0.37479499999999999</v>
      </c>
      <c r="CA422">
        <v>30</v>
      </c>
      <c r="CB422" t="s">
        <v>113</v>
      </c>
      <c r="CC422" t="s">
        <v>1045</v>
      </c>
    </row>
    <row r="423" spans="1:81" x14ac:dyDescent="0.25">
      <c r="A423" t="s">
        <v>81</v>
      </c>
      <c r="B423">
        <v>422</v>
      </c>
      <c r="C423">
        <v>3</v>
      </c>
      <c r="D423">
        <v>3</v>
      </c>
      <c r="E423">
        <v>86</v>
      </c>
      <c r="F423">
        <v>91</v>
      </c>
      <c r="G423">
        <v>229</v>
      </c>
      <c r="H423">
        <v>328</v>
      </c>
      <c r="I423" t="s">
        <v>1036</v>
      </c>
      <c r="J423" t="s">
        <v>83</v>
      </c>
      <c r="L423" t="s">
        <v>1037</v>
      </c>
      <c r="M423" t="s">
        <v>746</v>
      </c>
      <c r="O423" t="s">
        <v>250</v>
      </c>
      <c r="P423" t="s">
        <v>1038</v>
      </c>
      <c r="Q423" t="s">
        <v>1039</v>
      </c>
      <c r="R423">
        <v>2010</v>
      </c>
      <c r="S423" t="s">
        <v>253</v>
      </c>
      <c r="T423">
        <v>5</v>
      </c>
      <c r="V423" t="s">
        <v>1040</v>
      </c>
      <c r="W423" t="s">
        <v>170</v>
      </c>
      <c r="X423" t="s">
        <v>171</v>
      </c>
      <c r="Y423" t="s">
        <v>778</v>
      </c>
      <c r="Z423" t="s">
        <v>779</v>
      </c>
      <c r="AA423" t="s">
        <v>1041</v>
      </c>
      <c r="AB423" t="s">
        <v>1042</v>
      </c>
      <c r="AC423" t="s">
        <v>1043</v>
      </c>
      <c r="AD423" t="s">
        <v>98</v>
      </c>
      <c r="AE423" t="s">
        <v>177</v>
      </c>
      <c r="AF423" t="s">
        <v>260</v>
      </c>
      <c r="AG423" t="s">
        <v>261</v>
      </c>
      <c r="AH423" t="s">
        <v>102</v>
      </c>
      <c r="AI423" t="s">
        <v>134</v>
      </c>
      <c r="AJ423" t="s">
        <v>135</v>
      </c>
      <c r="AM423" t="s">
        <v>178</v>
      </c>
      <c r="AN423" t="s">
        <v>106</v>
      </c>
      <c r="AV423">
        <v>1</v>
      </c>
      <c r="AW423" t="s">
        <v>108</v>
      </c>
      <c r="AX423">
        <v>20</v>
      </c>
      <c r="AY423" t="s">
        <v>134</v>
      </c>
      <c r="AZ423" t="s">
        <v>109</v>
      </c>
      <c r="BA423" t="s">
        <v>180</v>
      </c>
      <c r="BB423">
        <v>20</v>
      </c>
      <c r="BC423">
        <v>25</v>
      </c>
      <c r="BD423">
        <v>0.5</v>
      </c>
      <c r="BE423" t="s">
        <v>139</v>
      </c>
      <c r="BG423">
        <v>0.1</v>
      </c>
      <c r="BP423">
        <v>16</v>
      </c>
      <c r="BS423" t="s">
        <v>230</v>
      </c>
      <c r="BU423" t="s">
        <v>1062</v>
      </c>
      <c r="BV423">
        <v>41.676670000000001</v>
      </c>
      <c r="BW423">
        <v>0.37479499999999999</v>
      </c>
      <c r="BX423">
        <v>30</v>
      </c>
      <c r="BY423">
        <v>42.1</v>
      </c>
      <c r="BZ423">
        <v>0.41853600000000002</v>
      </c>
      <c r="CA423">
        <v>30</v>
      </c>
      <c r="CB423" t="s">
        <v>113</v>
      </c>
      <c r="CC423" t="s">
        <v>1045</v>
      </c>
    </row>
    <row r="424" spans="1:81" x14ac:dyDescent="0.25">
      <c r="A424" t="s">
        <v>81</v>
      </c>
      <c r="B424">
        <v>423</v>
      </c>
      <c r="C424">
        <v>3</v>
      </c>
      <c r="D424">
        <v>3</v>
      </c>
      <c r="E424">
        <v>87</v>
      </c>
      <c r="F424">
        <v>92</v>
      </c>
      <c r="G424">
        <v>230</v>
      </c>
      <c r="H424">
        <v>329</v>
      </c>
      <c r="I424" t="s">
        <v>1036</v>
      </c>
      <c r="J424" t="s">
        <v>83</v>
      </c>
      <c r="L424" t="s">
        <v>1037</v>
      </c>
      <c r="M424" t="s">
        <v>746</v>
      </c>
      <c r="O424" t="s">
        <v>250</v>
      </c>
      <c r="P424" t="s">
        <v>1038</v>
      </c>
      <c r="Q424" t="s">
        <v>1039</v>
      </c>
      <c r="R424">
        <v>2010</v>
      </c>
      <c r="S424" t="s">
        <v>253</v>
      </c>
      <c r="T424">
        <v>5</v>
      </c>
      <c r="V424" t="s">
        <v>1040</v>
      </c>
      <c r="W424" t="s">
        <v>170</v>
      </c>
      <c r="X424" t="s">
        <v>171</v>
      </c>
      <c r="Y424" t="s">
        <v>778</v>
      </c>
      <c r="Z424" t="s">
        <v>779</v>
      </c>
      <c r="AA424" t="s">
        <v>1041</v>
      </c>
      <c r="AB424" t="s">
        <v>1042</v>
      </c>
      <c r="AC424" t="s">
        <v>1043</v>
      </c>
      <c r="AD424" t="s">
        <v>98</v>
      </c>
      <c r="AE424" t="s">
        <v>177</v>
      </c>
      <c r="AF424" t="s">
        <v>260</v>
      </c>
      <c r="AG424" t="s">
        <v>261</v>
      </c>
      <c r="AH424" t="s">
        <v>102</v>
      </c>
      <c r="AI424" t="s">
        <v>134</v>
      </c>
      <c r="AJ424" t="s">
        <v>135</v>
      </c>
      <c r="AM424" t="s">
        <v>178</v>
      </c>
      <c r="AN424" t="s">
        <v>106</v>
      </c>
      <c r="AV424">
        <v>1</v>
      </c>
      <c r="AW424" t="s">
        <v>108</v>
      </c>
      <c r="AX424">
        <v>20</v>
      </c>
      <c r="AY424" t="s">
        <v>134</v>
      </c>
      <c r="AZ424" t="s">
        <v>109</v>
      </c>
      <c r="BA424" t="s">
        <v>180</v>
      </c>
      <c r="BB424">
        <v>10</v>
      </c>
      <c r="BC424">
        <v>20</v>
      </c>
      <c r="BD424">
        <v>0.5</v>
      </c>
      <c r="BE424" t="s">
        <v>139</v>
      </c>
      <c r="BG424">
        <v>0.1</v>
      </c>
      <c r="BP424">
        <v>16</v>
      </c>
      <c r="BS424" t="s">
        <v>230</v>
      </c>
      <c r="BU424" t="s">
        <v>1063</v>
      </c>
      <c r="BV424">
        <v>39.633330000000001</v>
      </c>
      <c r="BW424">
        <v>0.44048039999999999</v>
      </c>
      <c r="BX424">
        <v>30</v>
      </c>
      <c r="BY424">
        <v>40.113329999999998</v>
      </c>
      <c r="BZ424">
        <v>0.56185240000000003</v>
      </c>
      <c r="CA424">
        <v>30</v>
      </c>
      <c r="CB424" t="s">
        <v>113</v>
      </c>
      <c r="CC424" t="s">
        <v>1045</v>
      </c>
    </row>
    <row r="425" spans="1:81" x14ac:dyDescent="0.25">
      <c r="A425" t="s">
        <v>81</v>
      </c>
      <c r="B425">
        <v>424</v>
      </c>
      <c r="C425">
        <v>3</v>
      </c>
      <c r="D425">
        <v>3</v>
      </c>
      <c r="E425">
        <v>87</v>
      </c>
      <c r="F425">
        <v>92</v>
      </c>
      <c r="G425">
        <v>230</v>
      </c>
      <c r="H425">
        <v>329</v>
      </c>
      <c r="I425" t="s">
        <v>1036</v>
      </c>
      <c r="J425" t="s">
        <v>83</v>
      </c>
      <c r="L425" t="s">
        <v>1037</v>
      </c>
      <c r="M425" t="s">
        <v>746</v>
      </c>
      <c r="O425" t="s">
        <v>250</v>
      </c>
      <c r="P425" t="s">
        <v>1038</v>
      </c>
      <c r="Q425" t="s">
        <v>1039</v>
      </c>
      <c r="R425">
        <v>2010</v>
      </c>
      <c r="S425" t="s">
        <v>253</v>
      </c>
      <c r="T425">
        <v>5</v>
      </c>
      <c r="V425" t="s">
        <v>1040</v>
      </c>
      <c r="W425" t="s">
        <v>170</v>
      </c>
      <c r="X425" t="s">
        <v>171</v>
      </c>
      <c r="Y425" t="s">
        <v>778</v>
      </c>
      <c r="Z425" t="s">
        <v>779</v>
      </c>
      <c r="AA425" t="s">
        <v>1041</v>
      </c>
      <c r="AB425" t="s">
        <v>1042</v>
      </c>
      <c r="AC425" t="s">
        <v>1043</v>
      </c>
      <c r="AD425" t="s">
        <v>98</v>
      </c>
      <c r="AE425" t="s">
        <v>177</v>
      </c>
      <c r="AF425" t="s">
        <v>260</v>
      </c>
      <c r="AG425" t="s">
        <v>261</v>
      </c>
      <c r="AH425" t="s">
        <v>102</v>
      </c>
      <c r="AI425" t="s">
        <v>134</v>
      </c>
      <c r="AJ425" t="s">
        <v>135</v>
      </c>
      <c r="AM425" t="s">
        <v>178</v>
      </c>
      <c r="AN425" t="s">
        <v>106</v>
      </c>
      <c r="AV425">
        <v>1</v>
      </c>
      <c r="AW425" t="s">
        <v>108</v>
      </c>
      <c r="AX425">
        <v>20</v>
      </c>
      <c r="AY425" t="s">
        <v>134</v>
      </c>
      <c r="AZ425" t="s">
        <v>109</v>
      </c>
      <c r="BA425" t="s">
        <v>180</v>
      </c>
      <c r="BB425">
        <v>20</v>
      </c>
      <c r="BC425">
        <v>25</v>
      </c>
      <c r="BD425">
        <v>0.5</v>
      </c>
      <c r="BE425" t="s">
        <v>139</v>
      </c>
      <c r="BG425">
        <v>0.1</v>
      </c>
      <c r="BP425">
        <v>16</v>
      </c>
      <c r="BS425" t="s">
        <v>230</v>
      </c>
      <c r="BU425" t="s">
        <v>1064</v>
      </c>
      <c r="BV425">
        <v>40.113329999999998</v>
      </c>
      <c r="BW425">
        <v>0.56185240000000003</v>
      </c>
      <c r="BX425">
        <v>30</v>
      </c>
      <c r="BY425">
        <v>41.056669999999997</v>
      </c>
      <c r="BZ425">
        <v>0.47827520000000001</v>
      </c>
      <c r="CA425">
        <v>30</v>
      </c>
      <c r="CB425" t="s">
        <v>113</v>
      </c>
      <c r="CC425" t="s">
        <v>1045</v>
      </c>
    </row>
    <row r="426" spans="1:81" x14ac:dyDescent="0.25">
      <c r="A426" t="s">
        <v>81</v>
      </c>
      <c r="B426">
        <v>425</v>
      </c>
      <c r="C426">
        <v>3</v>
      </c>
      <c r="D426">
        <v>3</v>
      </c>
      <c r="E426">
        <v>87</v>
      </c>
      <c r="F426">
        <v>92</v>
      </c>
      <c r="G426">
        <v>231</v>
      </c>
      <c r="H426">
        <v>329</v>
      </c>
      <c r="I426" t="s">
        <v>1036</v>
      </c>
      <c r="J426" t="s">
        <v>83</v>
      </c>
      <c r="L426" t="s">
        <v>1037</v>
      </c>
      <c r="M426" t="s">
        <v>746</v>
      </c>
      <c r="O426" t="s">
        <v>250</v>
      </c>
      <c r="P426" t="s">
        <v>1038</v>
      </c>
      <c r="Q426" t="s">
        <v>1039</v>
      </c>
      <c r="R426">
        <v>2010</v>
      </c>
      <c r="S426" t="s">
        <v>253</v>
      </c>
      <c r="T426">
        <v>5</v>
      </c>
      <c r="V426" t="s">
        <v>1040</v>
      </c>
      <c r="W426" t="s">
        <v>170</v>
      </c>
      <c r="X426" t="s">
        <v>171</v>
      </c>
      <c r="Y426" t="s">
        <v>778</v>
      </c>
      <c r="Z426" t="s">
        <v>779</v>
      </c>
      <c r="AA426" t="s">
        <v>1041</v>
      </c>
      <c r="AB426" t="s">
        <v>1042</v>
      </c>
      <c r="AC426" t="s">
        <v>1043</v>
      </c>
      <c r="AD426" t="s">
        <v>98</v>
      </c>
      <c r="AE426" t="s">
        <v>177</v>
      </c>
      <c r="AF426" t="s">
        <v>260</v>
      </c>
      <c r="AG426" t="s">
        <v>261</v>
      </c>
      <c r="AH426" t="s">
        <v>102</v>
      </c>
      <c r="AI426" t="s">
        <v>134</v>
      </c>
      <c r="AJ426" t="s">
        <v>135</v>
      </c>
      <c r="AM426" t="s">
        <v>178</v>
      </c>
      <c r="AN426" t="s">
        <v>106</v>
      </c>
      <c r="AV426">
        <v>1</v>
      </c>
      <c r="AW426" t="s">
        <v>108</v>
      </c>
      <c r="AX426">
        <v>20</v>
      </c>
      <c r="AY426" t="s">
        <v>134</v>
      </c>
      <c r="AZ426" t="s">
        <v>109</v>
      </c>
      <c r="BA426" t="s">
        <v>180</v>
      </c>
      <c r="BB426">
        <v>10</v>
      </c>
      <c r="BC426">
        <v>20</v>
      </c>
      <c r="BD426">
        <v>0.5</v>
      </c>
      <c r="BE426" t="s">
        <v>139</v>
      </c>
      <c r="BG426">
        <v>0.1</v>
      </c>
      <c r="BP426">
        <v>16</v>
      </c>
      <c r="BS426" t="s">
        <v>230</v>
      </c>
      <c r="BU426" t="s">
        <v>1065</v>
      </c>
      <c r="BV426">
        <v>41.85333</v>
      </c>
      <c r="BW426">
        <v>0.42567050000000001</v>
      </c>
      <c r="BX426">
        <v>30</v>
      </c>
      <c r="BY426">
        <v>41.448390000000003</v>
      </c>
      <c r="BZ426">
        <v>0.35295979999999999</v>
      </c>
      <c r="CA426">
        <v>31</v>
      </c>
      <c r="CB426" t="s">
        <v>113</v>
      </c>
      <c r="CC426" t="s">
        <v>1045</v>
      </c>
    </row>
    <row r="427" spans="1:81" x14ac:dyDescent="0.25">
      <c r="A427" t="s">
        <v>81</v>
      </c>
      <c r="B427">
        <v>426</v>
      </c>
      <c r="C427">
        <v>3</v>
      </c>
      <c r="D427">
        <v>3</v>
      </c>
      <c r="E427">
        <v>87</v>
      </c>
      <c r="F427">
        <v>92</v>
      </c>
      <c r="G427">
        <v>231</v>
      </c>
      <c r="H427">
        <v>329</v>
      </c>
      <c r="I427" t="s">
        <v>1036</v>
      </c>
      <c r="J427" t="s">
        <v>83</v>
      </c>
      <c r="L427" t="s">
        <v>1037</v>
      </c>
      <c r="M427" t="s">
        <v>746</v>
      </c>
      <c r="O427" t="s">
        <v>250</v>
      </c>
      <c r="P427" t="s">
        <v>1038</v>
      </c>
      <c r="Q427" t="s">
        <v>1039</v>
      </c>
      <c r="R427">
        <v>2010</v>
      </c>
      <c r="S427" t="s">
        <v>253</v>
      </c>
      <c r="T427">
        <v>5</v>
      </c>
      <c r="V427" t="s">
        <v>1040</v>
      </c>
      <c r="W427" t="s">
        <v>170</v>
      </c>
      <c r="X427" t="s">
        <v>171</v>
      </c>
      <c r="Y427" t="s">
        <v>778</v>
      </c>
      <c r="Z427" t="s">
        <v>779</v>
      </c>
      <c r="AA427" t="s">
        <v>1041</v>
      </c>
      <c r="AB427" t="s">
        <v>1042</v>
      </c>
      <c r="AC427" t="s">
        <v>1043</v>
      </c>
      <c r="AD427" t="s">
        <v>98</v>
      </c>
      <c r="AE427" t="s">
        <v>177</v>
      </c>
      <c r="AF427" t="s">
        <v>260</v>
      </c>
      <c r="AG427" t="s">
        <v>261</v>
      </c>
      <c r="AH427" t="s">
        <v>102</v>
      </c>
      <c r="AI427" t="s">
        <v>134</v>
      </c>
      <c r="AJ427" t="s">
        <v>135</v>
      </c>
      <c r="AM427" t="s">
        <v>178</v>
      </c>
      <c r="AN427" t="s">
        <v>106</v>
      </c>
      <c r="AV427">
        <v>1</v>
      </c>
      <c r="AW427" t="s">
        <v>108</v>
      </c>
      <c r="AX427">
        <v>20</v>
      </c>
      <c r="AY427" t="s">
        <v>134</v>
      </c>
      <c r="AZ427" t="s">
        <v>109</v>
      </c>
      <c r="BA427" t="s">
        <v>180</v>
      </c>
      <c r="BB427">
        <v>20</v>
      </c>
      <c r="BC427">
        <v>25</v>
      </c>
      <c r="BD427">
        <v>0.5</v>
      </c>
      <c r="BE427" t="s">
        <v>139</v>
      </c>
      <c r="BG427">
        <v>0.1</v>
      </c>
      <c r="BP427">
        <v>16</v>
      </c>
      <c r="BS427" t="s">
        <v>230</v>
      </c>
      <c r="BU427" t="s">
        <v>1065</v>
      </c>
      <c r="BV427">
        <v>41.448390000000003</v>
      </c>
      <c r="BW427">
        <v>0.35295979999999999</v>
      </c>
      <c r="BX427">
        <v>31</v>
      </c>
      <c r="BY427">
        <v>42.25667</v>
      </c>
      <c r="BZ427">
        <v>0.30249920000000002</v>
      </c>
      <c r="CA427">
        <v>30</v>
      </c>
      <c r="CB427" t="s">
        <v>113</v>
      </c>
      <c r="CC427" t="s">
        <v>1045</v>
      </c>
    </row>
    <row r="428" spans="1:81" x14ac:dyDescent="0.25">
      <c r="A428" t="s">
        <v>81</v>
      </c>
      <c r="B428">
        <v>427</v>
      </c>
      <c r="C428">
        <v>3</v>
      </c>
      <c r="D428">
        <v>3</v>
      </c>
      <c r="E428">
        <v>88</v>
      </c>
      <c r="F428">
        <v>93</v>
      </c>
      <c r="G428">
        <v>232</v>
      </c>
      <c r="H428">
        <v>330</v>
      </c>
      <c r="I428" t="s">
        <v>1036</v>
      </c>
      <c r="J428" t="s">
        <v>83</v>
      </c>
      <c r="L428" t="s">
        <v>1037</v>
      </c>
      <c r="M428" t="s">
        <v>746</v>
      </c>
      <c r="O428" t="s">
        <v>250</v>
      </c>
      <c r="P428" t="s">
        <v>1038</v>
      </c>
      <c r="Q428" t="s">
        <v>1039</v>
      </c>
      <c r="R428">
        <v>2010</v>
      </c>
      <c r="S428" t="s">
        <v>253</v>
      </c>
      <c r="T428">
        <v>5</v>
      </c>
      <c r="V428" t="s">
        <v>1040</v>
      </c>
      <c r="W428" t="s">
        <v>170</v>
      </c>
      <c r="X428" t="s">
        <v>171</v>
      </c>
      <c r="Y428" t="s">
        <v>778</v>
      </c>
      <c r="Z428" t="s">
        <v>779</v>
      </c>
      <c r="AA428" t="s">
        <v>1041</v>
      </c>
      <c r="AB428" t="s">
        <v>1042</v>
      </c>
      <c r="AC428" t="s">
        <v>1043</v>
      </c>
      <c r="AD428" t="s">
        <v>98</v>
      </c>
      <c r="AE428" t="s">
        <v>177</v>
      </c>
      <c r="AF428" t="s">
        <v>260</v>
      </c>
      <c r="AG428" t="s">
        <v>261</v>
      </c>
      <c r="AH428" t="s">
        <v>102</v>
      </c>
      <c r="AI428" t="s">
        <v>134</v>
      </c>
      <c r="AJ428" t="s">
        <v>135</v>
      </c>
      <c r="AM428" t="s">
        <v>178</v>
      </c>
      <c r="AN428" t="s">
        <v>106</v>
      </c>
      <c r="AV428">
        <v>1</v>
      </c>
      <c r="AW428" t="s">
        <v>108</v>
      </c>
      <c r="AX428">
        <v>20</v>
      </c>
      <c r="AY428" t="s">
        <v>134</v>
      </c>
      <c r="AZ428" t="s">
        <v>109</v>
      </c>
      <c r="BA428" t="s">
        <v>180</v>
      </c>
      <c r="BB428">
        <v>10</v>
      </c>
      <c r="BC428">
        <v>20</v>
      </c>
      <c r="BD428">
        <v>0.5</v>
      </c>
      <c r="BE428" t="s">
        <v>139</v>
      </c>
      <c r="BG428">
        <v>0.1</v>
      </c>
      <c r="BP428">
        <v>16</v>
      </c>
      <c r="BS428" t="s">
        <v>230</v>
      </c>
      <c r="BU428" t="s">
        <v>1066</v>
      </c>
      <c r="BV428">
        <v>39.476669999999999</v>
      </c>
      <c r="BW428">
        <v>0.31148510000000001</v>
      </c>
      <c r="BX428">
        <v>30</v>
      </c>
      <c r="BY428">
        <v>39.963329999999999</v>
      </c>
      <c r="BZ428">
        <v>0.38460309999999998</v>
      </c>
      <c r="CA428">
        <v>30</v>
      </c>
      <c r="CB428" t="s">
        <v>113</v>
      </c>
      <c r="CC428" t="s">
        <v>1045</v>
      </c>
    </row>
    <row r="429" spans="1:81" x14ac:dyDescent="0.25">
      <c r="A429" t="s">
        <v>81</v>
      </c>
      <c r="B429">
        <v>428</v>
      </c>
      <c r="C429">
        <v>3</v>
      </c>
      <c r="D429">
        <v>3</v>
      </c>
      <c r="E429">
        <v>88</v>
      </c>
      <c r="F429">
        <v>93</v>
      </c>
      <c r="G429">
        <v>232</v>
      </c>
      <c r="H429">
        <v>330</v>
      </c>
      <c r="I429" t="s">
        <v>1036</v>
      </c>
      <c r="J429" t="s">
        <v>83</v>
      </c>
      <c r="L429" t="s">
        <v>1037</v>
      </c>
      <c r="M429" t="s">
        <v>746</v>
      </c>
      <c r="O429" t="s">
        <v>250</v>
      </c>
      <c r="P429" t="s">
        <v>1038</v>
      </c>
      <c r="Q429" t="s">
        <v>1039</v>
      </c>
      <c r="R429">
        <v>2010</v>
      </c>
      <c r="S429" t="s">
        <v>253</v>
      </c>
      <c r="T429">
        <v>5</v>
      </c>
      <c r="V429" t="s">
        <v>1040</v>
      </c>
      <c r="W429" t="s">
        <v>170</v>
      </c>
      <c r="X429" t="s">
        <v>171</v>
      </c>
      <c r="Y429" t="s">
        <v>778</v>
      </c>
      <c r="Z429" t="s">
        <v>779</v>
      </c>
      <c r="AA429" t="s">
        <v>1041</v>
      </c>
      <c r="AB429" t="s">
        <v>1042</v>
      </c>
      <c r="AC429" t="s">
        <v>1043</v>
      </c>
      <c r="AD429" t="s">
        <v>98</v>
      </c>
      <c r="AE429" t="s">
        <v>177</v>
      </c>
      <c r="AF429" t="s">
        <v>260</v>
      </c>
      <c r="AG429" t="s">
        <v>261</v>
      </c>
      <c r="AH429" t="s">
        <v>102</v>
      </c>
      <c r="AI429" t="s">
        <v>134</v>
      </c>
      <c r="AJ429" t="s">
        <v>135</v>
      </c>
      <c r="AM429" t="s">
        <v>178</v>
      </c>
      <c r="AN429" t="s">
        <v>106</v>
      </c>
      <c r="AV429">
        <v>1</v>
      </c>
      <c r="AW429" t="s">
        <v>108</v>
      </c>
      <c r="AX429">
        <v>20</v>
      </c>
      <c r="AY429" t="s">
        <v>134</v>
      </c>
      <c r="AZ429" t="s">
        <v>109</v>
      </c>
      <c r="BA429" t="s">
        <v>180</v>
      </c>
      <c r="BB429">
        <v>20</v>
      </c>
      <c r="BC429">
        <v>25</v>
      </c>
      <c r="BD429">
        <v>0.5</v>
      </c>
      <c r="BE429" t="s">
        <v>139</v>
      </c>
      <c r="BG429">
        <v>0.1</v>
      </c>
      <c r="BP429">
        <v>16</v>
      </c>
      <c r="BS429" t="s">
        <v>230</v>
      </c>
      <c r="BU429" t="s">
        <v>1067</v>
      </c>
      <c r="BV429">
        <v>39.963329999999999</v>
      </c>
      <c r="BW429">
        <v>0.38460309999999998</v>
      </c>
      <c r="BX429">
        <v>30</v>
      </c>
      <c r="BY429">
        <v>40.773330000000001</v>
      </c>
      <c r="BZ429">
        <v>0.64483800000000002</v>
      </c>
      <c r="CA429">
        <v>30</v>
      </c>
      <c r="CB429" t="s">
        <v>113</v>
      </c>
      <c r="CC429" t="s">
        <v>1045</v>
      </c>
    </row>
    <row r="430" spans="1:81" x14ac:dyDescent="0.25">
      <c r="A430" t="s">
        <v>81</v>
      </c>
      <c r="B430">
        <v>429</v>
      </c>
      <c r="C430">
        <v>3</v>
      </c>
      <c r="D430">
        <v>3</v>
      </c>
      <c r="E430">
        <v>88</v>
      </c>
      <c r="F430">
        <v>93</v>
      </c>
      <c r="G430">
        <v>233</v>
      </c>
      <c r="H430">
        <v>330</v>
      </c>
      <c r="I430" t="s">
        <v>1036</v>
      </c>
      <c r="J430" t="s">
        <v>83</v>
      </c>
      <c r="L430" t="s">
        <v>1037</v>
      </c>
      <c r="M430" t="s">
        <v>746</v>
      </c>
      <c r="O430" t="s">
        <v>250</v>
      </c>
      <c r="P430" t="s">
        <v>1038</v>
      </c>
      <c r="Q430" t="s">
        <v>1039</v>
      </c>
      <c r="R430">
        <v>2010</v>
      </c>
      <c r="S430" t="s">
        <v>253</v>
      </c>
      <c r="T430">
        <v>5</v>
      </c>
      <c r="V430" t="s">
        <v>1040</v>
      </c>
      <c r="W430" t="s">
        <v>170</v>
      </c>
      <c r="X430" t="s">
        <v>171</v>
      </c>
      <c r="Y430" t="s">
        <v>778</v>
      </c>
      <c r="Z430" t="s">
        <v>779</v>
      </c>
      <c r="AA430" t="s">
        <v>1041</v>
      </c>
      <c r="AB430" t="s">
        <v>1042</v>
      </c>
      <c r="AC430" t="s">
        <v>1043</v>
      </c>
      <c r="AD430" t="s">
        <v>98</v>
      </c>
      <c r="AE430" t="s">
        <v>177</v>
      </c>
      <c r="AF430" t="s">
        <v>260</v>
      </c>
      <c r="AG430" t="s">
        <v>261</v>
      </c>
      <c r="AH430" t="s">
        <v>102</v>
      </c>
      <c r="AI430" t="s">
        <v>134</v>
      </c>
      <c r="AJ430" t="s">
        <v>135</v>
      </c>
      <c r="AM430" t="s">
        <v>178</v>
      </c>
      <c r="AN430" t="s">
        <v>106</v>
      </c>
      <c r="AV430">
        <v>1</v>
      </c>
      <c r="AW430" t="s">
        <v>108</v>
      </c>
      <c r="AX430">
        <v>20</v>
      </c>
      <c r="AY430" t="s">
        <v>134</v>
      </c>
      <c r="AZ430" t="s">
        <v>109</v>
      </c>
      <c r="BA430" t="s">
        <v>180</v>
      </c>
      <c r="BB430">
        <v>10</v>
      </c>
      <c r="BC430">
        <v>20</v>
      </c>
      <c r="BD430">
        <v>0.5</v>
      </c>
      <c r="BE430" t="s">
        <v>139</v>
      </c>
      <c r="BG430">
        <v>0.1</v>
      </c>
      <c r="BP430">
        <v>16</v>
      </c>
      <c r="BS430" t="s">
        <v>230</v>
      </c>
      <c r="BU430" t="s">
        <v>1068</v>
      </c>
      <c r="BV430">
        <v>41.44</v>
      </c>
      <c r="BW430">
        <v>0.3254705</v>
      </c>
      <c r="BX430">
        <v>30</v>
      </c>
      <c r="BY430">
        <v>41.29</v>
      </c>
      <c r="BZ430">
        <v>0.42616979999999999</v>
      </c>
      <c r="CA430">
        <v>30</v>
      </c>
      <c r="CB430" t="s">
        <v>113</v>
      </c>
      <c r="CC430" t="s">
        <v>1045</v>
      </c>
    </row>
    <row r="431" spans="1:81" x14ac:dyDescent="0.25">
      <c r="A431" t="s">
        <v>81</v>
      </c>
      <c r="B431">
        <v>430</v>
      </c>
      <c r="C431">
        <v>3</v>
      </c>
      <c r="D431">
        <v>3</v>
      </c>
      <c r="E431">
        <v>88</v>
      </c>
      <c r="F431">
        <v>93</v>
      </c>
      <c r="G431">
        <v>233</v>
      </c>
      <c r="H431">
        <v>330</v>
      </c>
      <c r="I431" t="s">
        <v>1036</v>
      </c>
      <c r="J431" t="s">
        <v>83</v>
      </c>
      <c r="L431" t="s">
        <v>1037</v>
      </c>
      <c r="M431" t="s">
        <v>746</v>
      </c>
      <c r="O431" t="s">
        <v>250</v>
      </c>
      <c r="P431" t="s">
        <v>1038</v>
      </c>
      <c r="Q431" t="s">
        <v>1039</v>
      </c>
      <c r="R431">
        <v>2010</v>
      </c>
      <c r="S431" t="s">
        <v>253</v>
      </c>
      <c r="T431">
        <v>5</v>
      </c>
      <c r="V431" t="s">
        <v>1040</v>
      </c>
      <c r="W431" t="s">
        <v>170</v>
      </c>
      <c r="X431" t="s">
        <v>171</v>
      </c>
      <c r="Y431" t="s">
        <v>778</v>
      </c>
      <c r="Z431" t="s">
        <v>779</v>
      </c>
      <c r="AA431" t="s">
        <v>1041</v>
      </c>
      <c r="AB431" t="s">
        <v>1042</v>
      </c>
      <c r="AC431" t="s">
        <v>1043</v>
      </c>
      <c r="AD431" t="s">
        <v>98</v>
      </c>
      <c r="AE431" t="s">
        <v>177</v>
      </c>
      <c r="AF431" t="s">
        <v>260</v>
      </c>
      <c r="AG431" t="s">
        <v>261</v>
      </c>
      <c r="AH431" t="s">
        <v>102</v>
      </c>
      <c r="AI431" t="s">
        <v>134</v>
      </c>
      <c r="AJ431" t="s">
        <v>135</v>
      </c>
      <c r="AM431" t="s">
        <v>178</v>
      </c>
      <c r="AN431" t="s">
        <v>106</v>
      </c>
      <c r="AV431">
        <v>1</v>
      </c>
      <c r="AW431" t="s">
        <v>108</v>
      </c>
      <c r="AX431">
        <v>20</v>
      </c>
      <c r="AY431" t="s">
        <v>134</v>
      </c>
      <c r="AZ431" t="s">
        <v>109</v>
      </c>
      <c r="BA431" t="s">
        <v>180</v>
      </c>
      <c r="BB431">
        <v>20</v>
      </c>
      <c r="BC431">
        <v>25</v>
      </c>
      <c r="BD431">
        <v>0.5</v>
      </c>
      <c r="BE431" t="s">
        <v>139</v>
      </c>
      <c r="BG431">
        <v>0.1</v>
      </c>
      <c r="BP431">
        <v>16</v>
      </c>
      <c r="BS431" t="s">
        <v>230</v>
      </c>
      <c r="BU431" t="s">
        <v>1068</v>
      </c>
      <c r="BV431">
        <v>41.29</v>
      </c>
      <c r="BW431">
        <v>0.42616979999999999</v>
      </c>
      <c r="BX431">
        <v>30</v>
      </c>
      <c r="BY431">
        <v>41.786670000000001</v>
      </c>
      <c r="BZ431">
        <v>0.3390996</v>
      </c>
      <c r="CA431">
        <v>30</v>
      </c>
      <c r="CB431" t="s">
        <v>113</v>
      </c>
      <c r="CC431" t="s">
        <v>1045</v>
      </c>
    </row>
    <row r="432" spans="1:81" x14ac:dyDescent="0.25">
      <c r="A432" t="s">
        <v>81</v>
      </c>
      <c r="B432">
        <v>431</v>
      </c>
      <c r="C432">
        <v>3</v>
      </c>
      <c r="D432">
        <v>3</v>
      </c>
      <c r="E432">
        <v>89</v>
      </c>
      <c r="F432">
        <v>94</v>
      </c>
      <c r="G432">
        <v>234</v>
      </c>
      <c r="H432">
        <v>331</v>
      </c>
      <c r="I432" t="s">
        <v>1036</v>
      </c>
      <c r="J432" t="s">
        <v>83</v>
      </c>
      <c r="L432" t="s">
        <v>1037</v>
      </c>
      <c r="M432" t="s">
        <v>746</v>
      </c>
      <c r="O432" t="s">
        <v>250</v>
      </c>
      <c r="P432" t="s">
        <v>1038</v>
      </c>
      <c r="Q432" t="s">
        <v>1039</v>
      </c>
      <c r="R432">
        <v>2010</v>
      </c>
      <c r="S432" t="s">
        <v>253</v>
      </c>
      <c r="T432">
        <v>5</v>
      </c>
      <c r="V432" t="s">
        <v>1040</v>
      </c>
      <c r="W432" t="s">
        <v>170</v>
      </c>
      <c r="X432" t="s">
        <v>171</v>
      </c>
      <c r="Y432" t="s">
        <v>778</v>
      </c>
      <c r="Z432" t="s">
        <v>779</v>
      </c>
      <c r="AA432" t="s">
        <v>1041</v>
      </c>
      <c r="AB432" t="s">
        <v>1042</v>
      </c>
      <c r="AC432" t="s">
        <v>1043</v>
      </c>
      <c r="AD432" t="s">
        <v>98</v>
      </c>
      <c r="AE432" t="s">
        <v>177</v>
      </c>
      <c r="AF432" t="s">
        <v>260</v>
      </c>
      <c r="AG432" t="s">
        <v>261</v>
      </c>
      <c r="AH432" t="s">
        <v>102</v>
      </c>
      <c r="AI432" t="s">
        <v>134</v>
      </c>
      <c r="AJ432" t="s">
        <v>135</v>
      </c>
      <c r="AM432" t="s">
        <v>178</v>
      </c>
      <c r="AN432" t="s">
        <v>106</v>
      </c>
      <c r="AV432">
        <v>1</v>
      </c>
      <c r="AW432" t="s">
        <v>108</v>
      </c>
      <c r="AX432">
        <v>20</v>
      </c>
      <c r="AY432" t="s">
        <v>134</v>
      </c>
      <c r="AZ432" t="s">
        <v>109</v>
      </c>
      <c r="BA432" t="s">
        <v>180</v>
      </c>
      <c r="BB432">
        <v>10</v>
      </c>
      <c r="BC432">
        <v>20</v>
      </c>
      <c r="BD432">
        <v>0.5</v>
      </c>
      <c r="BE432" t="s">
        <v>139</v>
      </c>
      <c r="BG432">
        <v>0.1</v>
      </c>
      <c r="BP432">
        <v>16</v>
      </c>
      <c r="BS432" t="s">
        <v>230</v>
      </c>
      <c r="BU432" t="s">
        <v>1069</v>
      </c>
      <c r="BV432">
        <v>38.94</v>
      </c>
      <c r="BW432">
        <v>1.6531266</v>
      </c>
      <c r="BX432">
        <v>30</v>
      </c>
      <c r="BY432">
        <v>39.563330000000001</v>
      </c>
      <c r="BZ432">
        <v>0.53464999999999996</v>
      </c>
      <c r="CA432">
        <v>30</v>
      </c>
      <c r="CB432" t="s">
        <v>113</v>
      </c>
      <c r="CC432" t="s">
        <v>1045</v>
      </c>
    </row>
    <row r="433" spans="1:81" x14ac:dyDescent="0.25">
      <c r="A433" t="s">
        <v>81</v>
      </c>
      <c r="B433">
        <v>432</v>
      </c>
      <c r="C433">
        <v>3</v>
      </c>
      <c r="D433">
        <v>3</v>
      </c>
      <c r="E433">
        <v>89</v>
      </c>
      <c r="F433">
        <v>94</v>
      </c>
      <c r="G433">
        <v>234</v>
      </c>
      <c r="H433">
        <v>331</v>
      </c>
      <c r="I433" t="s">
        <v>1036</v>
      </c>
      <c r="J433" t="s">
        <v>83</v>
      </c>
      <c r="L433" t="s">
        <v>1037</v>
      </c>
      <c r="M433" t="s">
        <v>746</v>
      </c>
      <c r="O433" t="s">
        <v>250</v>
      </c>
      <c r="P433" t="s">
        <v>1038</v>
      </c>
      <c r="Q433" t="s">
        <v>1039</v>
      </c>
      <c r="R433">
        <v>2010</v>
      </c>
      <c r="S433" t="s">
        <v>253</v>
      </c>
      <c r="T433">
        <v>5</v>
      </c>
      <c r="V433" t="s">
        <v>1040</v>
      </c>
      <c r="W433" t="s">
        <v>170</v>
      </c>
      <c r="X433" t="s">
        <v>171</v>
      </c>
      <c r="Y433" t="s">
        <v>778</v>
      </c>
      <c r="Z433" t="s">
        <v>779</v>
      </c>
      <c r="AA433" t="s">
        <v>1041</v>
      </c>
      <c r="AB433" t="s">
        <v>1042</v>
      </c>
      <c r="AC433" t="s">
        <v>1043</v>
      </c>
      <c r="AD433" t="s">
        <v>98</v>
      </c>
      <c r="AE433" t="s">
        <v>177</v>
      </c>
      <c r="AF433" t="s">
        <v>260</v>
      </c>
      <c r="AG433" t="s">
        <v>261</v>
      </c>
      <c r="AH433" t="s">
        <v>102</v>
      </c>
      <c r="AI433" t="s">
        <v>134</v>
      </c>
      <c r="AJ433" t="s">
        <v>135</v>
      </c>
      <c r="AM433" t="s">
        <v>178</v>
      </c>
      <c r="AN433" t="s">
        <v>106</v>
      </c>
      <c r="AV433">
        <v>1</v>
      </c>
      <c r="AW433" t="s">
        <v>108</v>
      </c>
      <c r="AX433">
        <v>20</v>
      </c>
      <c r="AY433" t="s">
        <v>134</v>
      </c>
      <c r="AZ433" t="s">
        <v>109</v>
      </c>
      <c r="BA433" t="s">
        <v>180</v>
      </c>
      <c r="BB433">
        <v>20</v>
      </c>
      <c r="BC433">
        <v>25</v>
      </c>
      <c r="BD433">
        <v>0.5</v>
      </c>
      <c r="BE433" t="s">
        <v>139</v>
      </c>
      <c r="BG433">
        <v>0.1</v>
      </c>
      <c r="BP433">
        <v>16</v>
      </c>
      <c r="BS433" t="s">
        <v>230</v>
      </c>
      <c r="BU433" t="s">
        <v>1070</v>
      </c>
      <c r="BV433">
        <v>39.563330000000001</v>
      </c>
      <c r="BW433">
        <v>0.53464999999999996</v>
      </c>
      <c r="BX433">
        <v>30</v>
      </c>
      <c r="BY433">
        <v>40.343330000000002</v>
      </c>
      <c r="BZ433">
        <v>0.33392480000000002</v>
      </c>
      <c r="CA433">
        <v>30</v>
      </c>
      <c r="CB433" t="s">
        <v>113</v>
      </c>
      <c r="CC433" t="s">
        <v>1045</v>
      </c>
    </row>
    <row r="434" spans="1:81" x14ac:dyDescent="0.25">
      <c r="A434" t="s">
        <v>81</v>
      </c>
      <c r="B434">
        <v>433</v>
      </c>
      <c r="C434">
        <v>3</v>
      </c>
      <c r="D434">
        <v>3</v>
      </c>
      <c r="E434">
        <v>89</v>
      </c>
      <c r="F434">
        <v>94</v>
      </c>
      <c r="G434">
        <v>235</v>
      </c>
      <c r="H434">
        <v>331</v>
      </c>
      <c r="I434" t="s">
        <v>1036</v>
      </c>
      <c r="J434" t="s">
        <v>83</v>
      </c>
      <c r="L434" t="s">
        <v>1037</v>
      </c>
      <c r="M434" t="s">
        <v>746</v>
      </c>
      <c r="O434" t="s">
        <v>250</v>
      </c>
      <c r="P434" t="s">
        <v>1038</v>
      </c>
      <c r="Q434" t="s">
        <v>1039</v>
      </c>
      <c r="R434">
        <v>2010</v>
      </c>
      <c r="S434" t="s">
        <v>253</v>
      </c>
      <c r="T434">
        <v>5</v>
      </c>
      <c r="V434" t="s">
        <v>1040</v>
      </c>
      <c r="W434" t="s">
        <v>170</v>
      </c>
      <c r="X434" t="s">
        <v>171</v>
      </c>
      <c r="Y434" t="s">
        <v>778</v>
      </c>
      <c r="Z434" t="s">
        <v>779</v>
      </c>
      <c r="AA434" t="s">
        <v>1041</v>
      </c>
      <c r="AB434" t="s">
        <v>1042</v>
      </c>
      <c r="AC434" t="s">
        <v>1043</v>
      </c>
      <c r="AD434" t="s">
        <v>98</v>
      </c>
      <c r="AE434" t="s">
        <v>177</v>
      </c>
      <c r="AF434" t="s">
        <v>260</v>
      </c>
      <c r="AG434" t="s">
        <v>261</v>
      </c>
      <c r="AH434" t="s">
        <v>102</v>
      </c>
      <c r="AI434" t="s">
        <v>134</v>
      </c>
      <c r="AJ434" t="s">
        <v>135</v>
      </c>
      <c r="AM434" t="s">
        <v>178</v>
      </c>
      <c r="AN434" t="s">
        <v>106</v>
      </c>
      <c r="AV434">
        <v>1</v>
      </c>
      <c r="AW434" t="s">
        <v>108</v>
      </c>
      <c r="AX434">
        <v>20</v>
      </c>
      <c r="AY434" t="s">
        <v>134</v>
      </c>
      <c r="AZ434" t="s">
        <v>109</v>
      </c>
      <c r="BA434" t="s">
        <v>180</v>
      </c>
      <c r="BB434">
        <v>10</v>
      </c>
      <c r="BC434">
        <v>20</v>
      </c>
      <c r="BD434">
        <v>0.5</v>
      </c>
      <c r="BE434" t="s">
        <v>139</v>
      </c>
      <c r="BG434">
        <v>0.1</v>
      </c>
      <c r="BP434">
        <v>16</v>
      </c>
      <c r="BS434" t="s">
        <v>230</v>
      </c>
      <c r="BU434" t="s">
        <v>1071</v>
      </c>
      <c r="BV434">
        <v>41.45</v>
      </c>
      <c r="BW434">
        <v>0.64098520000000003</v>
      </c>
      <c r="BX434">
        <v>30</v>
      </c>
      <c r="BY434">
        <v>41.29</v>
      </c>
      <c r="BZ434">
        <v>0.68800059999999996</v>
      </c>
      <c r="CA434">
        <v>30</v>
      </c>
      <c r="CB434" t="s">
        <v>113</v>
      </c>
      <c r="CC434" t="s">
        <v>1045</v>
      </c>
    </row>
    <row r="435" spans="1:81" x14ac:dyDescent="0.25">
      <c r="A435" t="s">
        <v>81</v>
      </c>
      <c r="B435">
        <v>434</v>
      </c>
      <c r="C435">
        <v>3</v>
      </c>
      <c r="D435">
        <v>3</v>
      </c>
      <c r="E435">
        <v>89</v>
      </c>
      <c r="F435">
        <v>94</v>
      </c>
      <c r="G435">
        <v>235</v>
      </c>
      <c r="H435">
        <v>331</v>
      </c>
      <c r="I435" t="s">
        <v>1036</v>
      </c>
      <c r="J435" t="s">
        <v>83</v>
      </c>
      <c r="L435" t="s">
        <v>1037</v>
      </c>
      <c r="M435" t="s">
        <v>746</v>
      </c>
      <c r="O435" t="s">
        <v>250</v>
      </c>
      <c r="P435" t="s">
        <v>1038</v>
      </c>
      <c r="Q435" t="s">
        <v>1039</v>
      </c>
      <c r="R435">
        <v>2010</v>
      </c>
      <c r="S435" t="s">
        <v>253</v>
      </c>
      <c r="T435">
        <v>5</v>
      </c>
      <c r="V435" t="s">
        <v>1040</v>
      </c>
      <c r="W435" t="s">
        <v>170</v>
      </c>
      <c r="X435" t="s">
        <v>171</v>
      </c>
      <c r="Y435" t="s">
        <v>778</v>
      </c>
      <c r="Z435" t="s">
        <v>779</v>
      </c>
      <c r="AA435" t="s">
        <v>1041</v>
      </c>
      <c r="AB435" t="s">
        <v>1042</v>
      </c>
      <c r="AC435" t="s">
        <v>1043</v>
      </c>
      <c r="AD435" t="s">
        <v>98</v>
      </c>
      <c r="AE435" t="s">
        <v>177</v>
      </c>
      <c r="AF435" t="s">
        <v>260</v>
      </c>
      <c r="AG435" t="s">
        <v>261</v>
      </c>
      <c r="AH435" t="s">
        <v>102</v>
      </c>
      <c r="AI435" t="s">
        <v>134</v>
      </c>
      <c r="AJ435" t="s">
        <v>135</v>
      </c>
      <c r="AM435" t="s">
        <v>178</v>
      </c>
      <c r="AN435" t="s">
        <v>106</v>
      </c>
      <c r="AV435">
        <v>1</v>
      </c>
      <c r="AW435" t="s">
        <v>108</v>
      </c>
      <c r="AX435">
        <v>20</v>
      </c>
      <c r="AY435" t="s">
        <v>134</v>
      </c>
      <c r="AZ435" t="s">
        <v>109</v>
      </c>
      <c r="BA435" t="s">
        <v>180</v>
      </c>
      <c r="BB435">
        <v>20</v>
      </c>
      <c r="BC435">
        <v>25</v>
      </c>
      <c r="BD435">
        <v>0.5</v>
      </c>
      <c r="BE435" t="s">
        <v>139</v>
      </c>
      <c r="BG435">
        <v>0.1</v>
      </c>
      <c r="BP435">
        <v>16</v>
      </c>
      <c r="BS435" t="s">
        <v>230</v>
      </c>
      <c r="BU435" t="s">
        <v>1071</v>
      </c>
      <c r="BV435">
        <v>41.29</v>
      </c>
      <c r="BW435">
        <v>0.68800059999999996</v>
      </c>
      <c r="BX435">
        <v>30</v>
      </c>
      <c r="BY435">
        <v>41.83</v>
      </c>
      <c r="BZ435">
        <v>0.35443010000000003</v>
      </c>
      <c r="CA435">
        <v>30</v>
      </c>
      <c r="CB435" t="s">
        <v>113</v>
      </c>
      <c r="CC435" t="s">
        <v>1045</v>
      </c>
    </row>
    <row r="436" spans="1:81" x14ac:dyDescent="0.25">
      <c r="A436" t="s">
        <v>81</v>
      </c>
      <c r="B436">
        <v>435</v>
      </c>
      <c r="C436">
        <v>95</v>
      </c>
      <c r="D436">
        <v>87</v>
      </c>
      <c r="E436">
        <v>90</v>
      </c>
      <c r="F436">
        <v>95</v>
      </c>
      <c r="G436">
        <v>236</v>
      </c>
      <c r="H436">
        <v>332</v>
      </c>
      <c r="I436" t="s">
        <v>322</v>
      </c>
      <c r="J436" t="s">
        <v>119</v>
      </c>
      <c r="L436" t="s">
        <v>1072</v>
      </c>
      <c r="M436" t="s">
        <v>85</v>
      </c>
      <c r="O436" t="s">
        <v>14</v>
      </c>
      <c r="P436" t="s">
        <v>1073</v>
      </c>
      <c r="Q436" t="s">
        <v>1074</v>
      </c>
      <c r="R436">
        <v>2020</v>
      </c>
      <c r="S436" t="s">
        <v>1075</v>
      </c>
      <c r="U436" t="s">
        <v>1076</v>
      </c>
      <c r="V436" t="s">
        <v>1077</v>
      </c>
      <c r="W436" t="s">
        <v>170</v>
      </c>
      <c r="X436" t="s">
        <v>171</v>
      </c>
      <c r="Y436" t="s">
        <v>172</v>
      </c>
      <c r="Z436" t="s">
        <v>173</v>
      </c>
      <c r="AA436" t="s">
        <v>1078</v>
      </c>
      <c r="AB436" t="s">
        <v>1079</v>
      </c>
      <c r="AC436" t="s">
        <v>1080</v>
      </c>
      <c r="AD436" t="s">
        <v>132</v>
      </c>
      <c r="AE436" t="s">
        <v>177</v>
      </c>
      <c r="AF436" t="s">
        <v>100</v>
      </c>
      <c r="AG436" t="s">
        <v>102</v>
      </c>
      <c r="AH436" t="s">
        <v>262</v>
      </c>
      <c r="AI436" t="s">
        <v>103</v>
      </c>
      <c r="AJ436" t="s">
        <v>135</v>
      </c>
      <c r="AK436">
        <f>(18+25)/2</f>
        <v>21.5</v>
      </c>
      <c r="AL436">
        <v>23.5</v>
      </c>
      <c r="AM436" t="s">
        <v>229</v>
      </c>
      <c r="AN436" t="s">
        <v>106</v>
      </c>
      <c r="AU436">
        <f>(0.03400113+0.03094526)/2</f>
        <v>3.2473194999999996E-2</v>
      </c>
      <c r="AV436">
        <f>(18+25)/2</f>
        <v>21.5</v>
      </c>
      <c r="AW436" t="s">
        <v>578</v>
      </c>
      <c r="AX436">
        <v>23.5</v>
      </c>
      <c r="AY436" t="s">
        <v>134</v>
      </c>
      <c r="AZ436" t="s">
        <v>109</v>
      </c>
      <c r="BA436" t="s">
        <v>180</v>
      </c>
      <c r="BB436">
        <v>18.600000000000001</v>
      </c>
      <c r="BC436">
        <v>23.5</v>
      </c>
      <c r="BE436" t="s">
        <v>111</v>
      </c>
      <c r="BG436">
        <v>0.05</v>
      </c>
      <c r="BP436">
        <v>14</v>
      </c>
      <c r="BR436" t="s">
        <v>69</v>
      </c>
      <c r="BU436" t="s">
        <v>1081</v>
      </c>
      <c r="BV436">
        <v>44.183149999999998</v>
      </c>
      <c r="BW436">
        <v>0.41038930000000001</v>
      </c>
      <c r="BX436">
        <v>30</v>
      </c>
      <c r="BY436">
        <v>44.265569999999997</v>
      </c>
      <c r="BZ436">
        <v>0.25398500000000002</v>
      </c>
      <c r="CA436">
        <v>30</v>
      </c>
      <c r="CB436" t="s">
        <v>113</v>
      </c>
      <c r="CC436" t="s">
        <v>451</v>
      </c>
    </row>
    <row r="437" spans="1:81" x14ac:dyDescent="0.25">
      <c r="A437" t="s">
        <v>81</v>
      </c>
      <c r="B437">
        <v>436</v>
      </c>
      <c r="C437">
        <v>95</v>
      </c>
      <c r="D437">
        <v>87</v>
      </c>
      <c r="E437">
        <v>90</v>
      </c>
      <c r="F437">
        <v>95</v>
      </c>
      <c r="G437">
        <v>236</v>
      </c>
      <c r="H437">
        <v>333</v>
      </c>
      <c r="I437" t="s">
        <v>322</v>
      </c>
      <c r="J437" t="s">
        <v>119</v>
      </c>
      <c r="L437" t="s">
        <v>1072</v>
      </c>
      <c r="M437" t="s">
        <v>85</v>
      </c>
      <c r="O437" t="s">
        <v>14</v>
      </c>
      <c r="P437" t="s">
        <v>1073</v>
      </c>
      <c r="Q437" t="s">
        <v>1074</v>
      </c>
      <c r="R437">
        <v>2020</v>
      </c>
      <c r="S437" t="s">
        <v>1075</v>
      </c>
      <c r="U437" t="s">
        <v>1076</v>
      </c>
      <c r="V437" t="s">
        <v>1077</v>
      </c>
      <c r="W437" t="s">
        <v>170</v>
      </c>
      <c r="X437" t="s">
        <v>171</v>
      </c>
      <c r="Y437" t="s">
        <v>172</v>
      </c>
      <c r="Z437" t="s">
        <v>173</v>
      </c>
      <c r="AA437" t="s">
        <v>1078</v>
      </c>
      <c r="AB437" t="s">
        <v>1079</v>
      </c>
      <c r="AC437" t="s">
        <v>1080</v>
      </c>
      <c r="AD437" t="s">
        <v>132</v>
      </c>
      <c r="AE437" t="s">
        <v>177</v>
      </c>
      <c r="AF437" t="s">
        <v>100</v>
      </c>
      <c r="AG437" t="s">
        <v>102</v>
      </c>
      <c r="AH437" t="s">
        <v>262</v>
      </c>
      <c r="AI437" t="s">
        <v>103</v>
      </c>
      <c r="AJ437" t="s">
        <v>135</v>
      </c>
      <c r="AK437">
        <f>(18+25)/2</f>
        <v>21.5</v>
      </c>
      <c r="AL437">
        <v>23.5</v>
      </c>
      <c r="AM437" t="s">
        <v>229</v>
      </c>
      <c r="AN437" t="s">
        <v>106</v>
      </c>
      <c r="AU437">
        <f>(0.03094526+0.02843115)/2</f>
        <v>2.9688204999999999E-2</v>
      </c>
      <c r="AV437">
        <f>(18+25)/2</f>
        <v>21.5</v>
      </c>
      <c r="AW437" t="s">
        <v>578</v>
      </c>
      <c r="AX437">
        <v>23.5</v>
      </c>
      <c r="AY437" t="s">
        <v>134</v>
      </c>
      <c r="AZ437" t="s">
        <v>109</v>
      </c>
      <c r="BA437" t="s">
        <v>180</v>
      </c>
      <c r="BB437">
        <v>23.5</v>
      </c>
      <c r="BC437">
        <v>28.6</v>
      </c>
      <c r="BE437" t="s">
        <v>111</v>
      </c>
      <c r="BG437">
        <v>0.05</v>
      </c>
      <c r="BP437">
        <v>14</v>
      </c>
      <c r="BR437" t="s">
        <v>69</v>
      </c>
      <c r="BU437" t="s">
        <v>1081</v>
      </c>
      <c r="BV437">
        <v>44.265569999999997</v>
      </c>
      <c r="BW437">
        <v>0.25398500000000002</v>
      </c>
      <c r="BX437">
        <v>30</v>
      </c>
      <c r="BY437">
        <v>44.239930000000001</v>
      </c>
      <c r="BZ437">
        <v>0.44196619999999998</v>
      </c>
      <c r="CA437">
        <v>30</v>
      </c>
      <c r="CB437" t="s">
        <v>113</v>
      </c>
      <c r="CC437" t="s">
        <v>451</v>
      </c>
    </row>
    <row r="438" spans="1:81" x14ac:dyDescent="0.25">
      <c r="A438" t="s">
        <v>81</v>
      </c>
      <c r="B438">
        <v>437</v>
      </c>
      <c r="C438">
        <v>96</v>
      </c>
      <c r="D438">
        <v>88</v>
      </c>
      <c r="E438">
        <v>91</v>
      </c>
      <c r="F438">
        <v>97</v>
      </c>
      <c r="G438">
        <v>237</v>
      </c>
      <c r="H438">
        <v>334</v>
      </c>
      <c r="I438" t="s">
        <v>1082</v>
      </c>
      <c r="J438" t="s">
        <v>83</v>
      </c>
      <c r="M438" t="s">
        <v>746</v>
      </c>
      <c r="N438" t="s">
        <v>1083</v>
      </c>
      <c r="O438" t="s">
        <v>14</v>
      </c>
      <c r="P438" t="s">
        <v>1084</v>
      </c>
      <c r="Q438" t="s">
        <v>1085</v>
      </c>
      <c r="R438">
        <v>2015</v>
      </c>
      <c r="S438" t="s">
        <v>146</v>
      </c>
      <c r="U438" t="s">
        <v>1086</v>
      </c>
      <c r="V438" t="s">
        <v>1087</v>
      </c>
      <c r="W438" t="s">
        <v>91</v>
      </c>
      <c r="X438" t="s">
        <v>508</v>
      </c>
      <c r="Y438" t="s">
        <v>509</v>
      </c>
      <c r="Z438" t="s">
        <v>839</v>
      </c>
      <c r="AA438" t="s">
        <v>1088</v>
      </c>
      <c r="AB438" t="s">
        <v>1089</v>
      </c>
      <c r="AC438" t="s">
        <v>1090</v>
      </c>
      <c r="AD438" t="s">
        <v>132</v>
      </c>
      <c r="AE438" t="s">
        <v>514</v>
      </c>
      <c r="AF438" t="s">
        <v>100</v>
      </c>
      <c r="AG438" t="s">
        <v>102</v>
      </c>
      <c r="AH438" t="s">
        <v>102</v>
      </c>
      <c r="AI438" t="s">
        <v>134</v>
      </c>
      <c r="AJ438" t="s">
        <v>135</v>
      </c>
      <c r="AM438" t="s">
        <v>136</v>
      </c>
      <c r="AN438" t="s">
        <v>106</v>
      </c>
      <c r="AO438">
        <v>-23.633400000000002</v>
      </c>
      <c r="AP438">
        <v>-45.866700000000002</v>
      </c>
      <c r="AQ438">
        <v>936</v>
      </c>
      <c r="AW438" t="s">
        <v>108</v>
      </c>
      <c r="AX438">
        <v>18</v>
      </c>
      <c r="AY438" t="s">
        <v>103</v>
      </c>
      <c r="AZ438" t="s">
        <v>109</v>
      </c>
      <c r="BA438" t="s">
        <v>180</v>
      </c>
      <c r="BB438">
        <v>20</v>
      </c>
      <c r="BC438">
        <v>30</v>
      </c>
      <c r="BE438" t="s">
        <v>139</v>
      </c>
      <c r="BF438">
        <v>3</v>
      </c>
      <c r="BG438">
        <f t="shared" ref="BG438:BG452" si="20">(0.88+0.93)/2</f>
        <v>0.90500000000000003</v>
      </c>
      <c r="BP438">
        <v>12</v>
      </c>
      <c r="BU438" t="s">
        <v>1091</v>
      </c>
      <c r="BV438">
        <v>42.2</v>
      </c>
      <c r="BW438">
        <v>0.63245549999999995</v>
      </c>
      <c r="BX438">
        <v>10</v>
      </c>
      <c r="BY438">
        <v>43.071429999999999</v>
      </c>
      <c r="BZ438">
        <v>0.85163060000000002</v>
      </c>
      <c r="CA438">
        <v>14</v>
      </c>
      <c r="CB438" t="s">
        <v>113</v>
      </c>
      <c r="CC438" t="s">
        <v>1045</v>
      </c>
    </row>
    <row r="439" spans="1:81" x14ac:dyDescent="0.25">
      <c r="A439" t="s">
        <v>81</v>
      </c>
      <c r="B439">
        <v>438</v>
      </c>
      <c r="C439">
        <v>96</v>
      </c>
      <c r="D439">
        <v>88</v>
      </c>
      <c r="E439">
        <v>91</v>
      </c>
      <c r="F439">
        <v>98</v>
      </c>
      <c r="G439">
        <v>238</v>
      </c>
      <c r="H439">
        <v>335</v>
      </c>
      <c r="I439" t="s">
        <v>1082</v>
      </c>
      <c r="J439" t="s">
        <v>83</v>
      </c>
      <c r="M439" t="s">
        <v>746</v>
      </c>
      <c r="N439" t="s">
        <v>1083</v>
      </c>
      <c r="O439" t="s">
        <v>14</v>
      </c>
      <c r="P439" t="s">
        <v>1084</v>
      </c>
      <c r="Q439" t="s">
        <v>1085</v>
      </c>
      <c r="R439">
        <v>2015</v>
      </c>
      <c r="S439" t="s">
        <v>146</v>
      </c>
      <c r="U439" t="s">
        <v>1086</v>
      </c>
      <c r="V439" t="s">
        <v>1087</v>
      </c>
      <c r="W439" t="s">
        <v>91</v>
      </c>
      <c r="X439" t="s">
        <v>508</v>
      </c>
      <c r="Y439" t="s">
        <v>509</v>
      </c>
      <c r="Z439" t="s">
        <v>839</v>
      </c>
      <c r="AA439" t="s">
        <v>1088</v>
      </c>
      <c r="AB439" t="s">
        <v>1089</v>
      </c>
      <c r="AC439" t="s">
        <v>1090</v>
      </c>
      <c r="AD439" t="s">
        <v>132</v>
      </c>
      <c r="AE439" t="s">
        <v>514</v>
      </c>
      <c r="AF439" t="s">
        <v>100</v>
      </c>
      <c r="AG439" t="s">
        <v>102</v>
      </c>
      <c r="AH439" t="s">
        <v>102</v>
      </c>
      <c r="AI439" t="s">
        <v>134</v>
      </c>
      <c r="AJ439" t="s">
        <v>135</v>
      </c>
      <c r="AM439" t="s">
        <v>136</v>
      </c>
      <c r="AN439" t="s">
        <v>106</v>
      </c>
      <c r="AO439">
        <v>-23.633400000000002</v>
      </c>
      <c r="AP439">
        <v>-45.866700000000002</v>
      </c>
      <c r="AQ439">
        <v>936</v>
      </c>
      <c r="AW439" t="s">
        <v>108</v>
      </c>
      <c r="AX439">
        <v>18</v>
      </c>
      <c r="AY439" t="s">
        <v>103</v>
      </c>
      <c r="AZ439" t="s">
        <v>109</v>
      </c>
      <c r="BA439" t="s">
        <v>180</v>
      </c>
      <c r="BB439">
        <v>20</v>
      </c>
      <c r="BC439">
        <v>30</v>
      </c>
      <c r="BE439" t="s">
        <v>139</v>
      </c>
      <c r="BF439">
        <v>3</v>
      </c>
      <c r="BG439">
        <f t="shared" si="20"/>
        <v>0.90500000000000003</v>
      </c>
      <c r="BP439">
        <v>12</v>
      </c>
      <c r="BU439" t="s">
        <v>1092</v>
      </c>
      <c r="BV439">
        <v>42.6</v>
      </c>
      <c r="BW439">
        <v>0.47056199999999998</v>
      </c>
      <c r="BX439">
        <v>15</v>
      </c>
      <c r="BY439">
        <v>43.153849999999998</v>
      </c>
      <c r="BZ439">
        <v>0.80064080000000004</v>
      </c>
      <c r="CA439">
        <v>13</v>
      </c>
      <c r="CB439" t="s">
        <v>113</v>
      </c>
      <c r="CC439" t="s">
        <v>1045</v>
      </c>
    </row>
    <row r="440" spans="1:81" x14ac:dyDescent="0.25">
      <c r="A440" t="s">
        <v>81</v>
      </c>
      <c r="B440">
        <v>439</v>
      </c>
      <c r="C440">
        <v>96</v>
      </c>
      <c r="D440">
        <v>88</v>
      </c>
      <c r="E440">
        <v>91</v>
      </c>
      <c r="F440">
        <v>99</v>
      </c>
      <c r="G440">
        <v>239</v>
      </c>
      <c r="H440">
        <v>336</v>
      </c>
      <c r="I440" t="s">
        <v>1082</v>
      </c>
      <c r="J440" t="s">
        <v>83</v>
      </c>
      <c r="M440" t="s">
        <v>746</v>
      </c>
      <c r="N440" t="s">
        <v>1083</v>
      </c>
      <c r="O440" t="s">
        <v>14</v>
      </c>
      <c r="P440" t="s">
        <v>1084</v>
      </c>
      <c r="Q440" t="s">
        <v>1085</v>
      </c>
      <c r="R440">
        <v>2015</v>
      </c>
      <c r="S440" t="s">
        <v>146</v>
      </c>
      <c r="U440" t="s">
        <v>1086</v>
      </c>
      <c r="V440" t="s">
        <v>1087</v>
      </c>
      <c r="W440" t="s">
        <v>91</v>
      </c>
      <c r="X440" t="s">
        <v>508</v>
      </c>
      <c r="Y440" t="s">
        <v>509</v>
      </c>
      <c r="Z440" t="s">
        <v>839</v>
      </c>
      <c r="AA440" t="s">
        <v>1088</v>
      </c>
      <c r="AB440" t="s">
        <v>1089</v>
      </c>
      <c r="AC440" t="s">
        <v>1090</v>
      </c>
      <c r="AD440" t="s">
        <v>132</v>
      </c>
      <c r="AE440" t="s">
        <v>514</v>
      </c>
      <c r="AF440" t="s">
        <v>100</v>
      </c>
      <c r="AG440" t="s">
        <v>102</v>
      </c>
      <c r="AH440" t="s">
        <v>102</v>
      </c>
      <c r="AI440" t="s">
        <v>134</v>
      </c>
      <c r="AJ440" t="s">
        <v>135</v>
      </c>
      <c r="AM440" t="s">
        <v>136</v>
      </c>
      <c r="AN440" t="s">
        <v>106</v>
      </c>
      <c r="AO440">
        <v>-23.633400000000002</v>
      </c>
      <c r="AP440">
        <v>-45.866700000000002</v>
      </c>
      <c r="AQ440">
        <v>936</v>
      </c>
      <c r="AW440" t="s">
        <v>108</v>
      </c>
      <c r="AX440">
        <v>18</v>
      </c>
      <c r="AY440" t="s">
        <v>103</v>
      </c>
      <c r="AZ440" t="s">
        <v>109</v>
      </c>
      <c r="BA440" t="s">
        <v>180</v>
      </c>
      <c r="BB440">
        <v>20</v>
      </c>
      <c r="BC440">
        <v>30</v>
      </c>
      <c r="BE440" t="s">
        <v>139</v>
      </c>
      <c r="BF440">
        <v>3</v>
      </c>
      <c r="BG440">
        <f t="shared" si="20"/>
        <v>0.90500000000000003</v>
      </c>
      <c r="BP440">
        <v>12</v>
      </c>
      <c r="BU440" t="s">
        <v>1093</v>
      </c>
      <c r="BV440">
        <v>42.666670000000003</v>
      </c>
      <c r="BW440">
        <v>0.36187340000000001</v>
      </c>
      <c r="BX440">
        <v>15</v>
      </c>
      <c r="BY440">
        <v>43.71875</v>
      </c>
      <c r="BZ440">
        <v>0.40697050000000001</v>
      </c>
      <c r="CA440">
        <v>16</v>
      </c>
      <c r="CB440" t="s">
        <v>113</v>
      </c>
      <c r="CC440" t="s">
        <v>1045</v>
      </c>
    </row>
    <row r="441" spans="1:81" x14ac:dyDescent="0.25">
      <c r="A441" t="s">
        <v>81</v>
      </c>
      <c r="B441">
        <v>440</v>
      </c>
      <c r="C441">
        <v>96</v>
      </c>
      <c r="D441">
        <v>88</v>
      </c>
      <c r="E441">
        <v>91</v>
      </c>
      <c r="F441">
        <v>100</v>
      </c>
      <c r="G441">
        <v>240</v>
      </c>
      <c r="H441">
        <v>337</v>
      </c>
      <c r="I441" t="s">
        <v>1082</v>
      </c>
      <c r="J441" t="s">
        <v>83</v>
      </c>
      <c r="M441" t="s">
        <v>746</v>
      </c>
      <c r="N441" t="s">
        <v>1083</v>
      </c>
      <c r="O441" t="s">
        <v>14</v>
      </c>
      <c r="P441" t="s">
        <v>1084</v>
      </c>
      <c r="Q441" t="s">
        <v>1085</v>
      </c>
      <c r="R441">
        <v>2015</v>
      </c>
      <c r="S441" t="s">
        <v>146</v>
      </c>
      <c r="U441" t="s">
        <v>1086</v>
      </c>
      <c r="V441" t="s">
        <v>1087</v>
      </c>
      <c r="W441" t="s">
        <v>91</v>
      </c>
      <c r="X441" t="s">
        <v>508</v>
      </c>
      <c r="Y441" t="s">
        <v>509</v>
      </c>
      <c r="Z441" t="s">
        <v>839</v>
      </c>
      <c r="AA441" t="s">
        <v>1088</v>
      </c>
      <c r="AB441" t="s">
        <v>1089</v>
      </c>
      <c r="AC441" t="s">
        <v>1090</v>
      </c>
      <c r="AD441" t="s">
        <v>132</v>
      </c>
      <c r="AE441" t="s">
        <v>514</v>
      </c>
      <c r="AF441" t="s">
        <v>100</v>
      </c>
      <c r="AG441" t="s">
        <v>102</v>
      </c>
      <c r="AH441" t="s">
        <v>102</v>
      </c>
      <c r="AI441" t="s">
        <v>134</v>
      </c>
      <c r="AJ441" t="s">
        <v>135</v>
      </c>
      <c r="AM441" t="s">
        <v>136</v>
      </c>
      <c r="AN441" t="s">
        <v>106</v>
      </c>
      <c r="AO441">
        <v>-23.633400000000002</v>
      </c>
      <c r="AP441">
        <v>-45.866700000000002</v>
      </c>
      <c r="AQ441">
        <v>936</v>
      </c>
      <c r="AW441" t="s">
        <v>108</v>
      </c>
      <c r="AX441">
        <v>18</v>
      </c>
      <c r="AY441" t="s">
        <v>103</v>
      </c>
      <c r="AZ441" t="s">
        <v>109</v>
      </c>
      <c r="BA441" t="s">
        <v>180</v>
      </c>
      <c r="BB441">
        <v>20</v>
      </c>
      <c r="BC441">
        <v>30</v>
      </c>
      <c r="BE441" t="s">
        <v>139</v>
      </c>
      <c r="BF441">
        <v>3</v>
      </c>
      <c r="BG441">
        <f t="shared" si="20"/>
        <v>0.90500000000000003</v>
      </c>
      <c r="BP441">
        <v>12</v>
      </c>
      <c r="BU441" t="s">
        <v>1094</v>
      </c>
      <c r="BV441">
        <v>42.576920000000001</v>
      </c>
      <c r="BW441">
        <v>0.67225219999999997</v>
      </c>
      <c r="BX441">
        <v>13</v>
      </c>
      <c r="BY441">
        <v>42.692309999999999</v>
      </c>
      <c r="BZ441">
        <v>0.59646390000000005</v>
      </c>
      <c r="CA441">
        <v>13</v>
      </c>
      <c r="CB441" t="s">
        <v>113</v>
      </c>
      <c r="CC441" t="s">
        <v>1045</v>
      </c>
    </row>
    <row r="442" spans="1:81" x14ac:dyDescent="0.25">
      <c r="A442" t="s">
        <v>81</v>
      </c>
      <c r="B442">
        <v>441</v>
      </c>
      <c r="C442">
        <v>96</v>
      </c>
      <c r="D442">
        <v>89</v>
      </c>
      <c r="E442">
        <v>92</v>
      </c>
      <c r="F442">
        <v>101</v>
      </c>
      <c r="G442">
        <v>241</v>
      </c>
      <c r="H442">
        <v>338</v>
      </c>
      <c r="I442" t="s">
        <v>1082</v>
      </c>
      <c r="J442" t="s">
        <v>83</v>
      </c>
      <c r="M442" t="s">
        <v>746</v>
      </c>
      <c r="N442" t="s">
        <v>1083</v>
      </c>
      <c r="O442" t="s">
        <v>14</v>
      </c>
      <c r="P442" t="s">
        <v>1084</v>
      </c>
      <c r="Q442" t="s">
        <v>1085</v>
      </c>
      <c r="R442">
        <v>2015</v>
      </c>
      <c r="S442" t="s">
        <v>146</v>
      </c>
      <c r="U442" t="s">
        <v>1086</v>
      </c>
      <c r="V442" t="s">
        <v>1087</v>
      </c>
      <c r="W442" t="s">
        <v>91</v>
      </c>
      <c r="X442" t="s">
        <v>508</v>
      </c>
      <c r="Y442" t="s">
        <v>509</v>
      </c>
      <c r="Z442" t="s">
        <v>915</v>
      </c>
      <c r="AA442" t="s">
        <v>1095</v>
      </c>
      <c r="AB442" t="s">
        <v>1096</v>
      </c>
      <c r="AC442" t="s">
        <v>1097</v>
      </c>
      <c r="AD442" t="s">
        <v>132</v>
      </c>
      <c r="AE442" t="s">
        <v>514</v>
      </c>
      <c r="AF442" t="s">
        <v>100</v>
      </c>
      <c r="AG442" t="s">
        <v>102</v>
      </c>
      <c r="AH442" t="s">
        <v>102</v>
      </c>
      <c r="AI442" t="s">
        <v>134</v>
      </c>
      <c r="AJ442" t="s">
        <v>135</v>
      </c>
      <c r="AM442" t="s">
        <v>136</v>
      </c>
      <c r="AN442" t="s">
        <v>106</v>
      </c>
      <c r="AO442" s="7">
        <v>-5.65</v>
      </c>
      <c r="AP442">
        <v>-36.6</v>
      </c>
      <c r="AQ442">
        <v>103</v>
      </c>
      <c r="AW442" t="s">
        <v>108</v>
      </c>
      <c r="AX442">
        <v>18</v>
      </c>
      <c r="AY442" t="s">
        <v>103</v>
      </c>
      <c r="AZ442" t="s">
        <v>109</v>
      </c>
      <c r="BA442" t="s">
        <v>180</v>
      </c>
      <c r="BB442">
        <v>20</v>
      </c>
      <c r="BC442">
        <v>30</v>
      </c>
      <c r="BE442" t="s">
        <v>139</v>
      </c>
      <c r="BF442">
        <v>3</v>
      </c>
      <c r="BG442">
        <f t="shared" si="20"/>
        <v>0.90500000000000003</v>
      </c>
      <c r="BH442" s="14"/>
      <c r="BP442">
        <v>12</v>
      </c>
      <c r="BU442" t="s">
        <v>1098</v>
      </c>
      <c r="BV442">
        <v>41.75</v>
      </c>
      <c r="BW442">
        <v>3.4351128000000002</v>
      </c>
      <c r="BX442">
        <v>16</v>
      </c>
      <c r="BY442">
        <v>44.133330000000001</v>
      </c>
      <c r="BZ442">
        <v>0.35186580000000001</v>
      </c>
      <c r="CA442">
        <v>15</v>
      </c>
      <c r="CB442" t="s">
        <v>113</v>
      </c>
      <c r="CC442" t="s">
        <v>1045</v>
      </c>
    </row>
    <row r="443" spans="1:81" x14ac:dyDescent="0.25">
      <c r="A443" t="s">
        <v>81</v>
      </c>
      <c r="B443">
        <v>442</v>
      </c>
      <c r="C443">
        <v>96</v>
      </c>
      <c r="D443">
        <v>89</v>
      </c>
      <c r="E443">
        <v>92</v>
      </c>
      <c r="F443">
        <v>102</v>
      </c>
      <c r="G443">
        <v>242</v>
      </c>
      <c r="H443">
        <v>339</v>
      </c>
      <c r="I443" t="s">
        <v>1082</v>
      </c>
      <c r="J443" t="s">
        <v>83</v>
      </c>
      <c r="M443" t="s">
        <v>746</v>
      </c>
      <c r="N443" t="s">
        <v>1083</v>
      </c>
      <c r="O443" t="s">
        <v>14</v>
      </c>
      <c r="P443" t="s">
        <v>1084</v>
      </c>
      <c r="Q443" t="s">
        <v>1085</v>
      </c>
      <c r="R443">
        <v>2015</v>
      </c>
      <c r="S443" t="s">
        <v>146</v>
      </c>
      <c r="U443" t="s">
        <v>1086</v>
      </c>
      <c r="V443" t="s">
        <v>1087</v>
      </c>
      <c r="W443" t="s">
        <v>91</v>
      </c>
      <c r="X443" t="s">
        <v>508</v>
      </c>
      <c r="Y443" t="s">
        <v>509</v>
      </c>
      <c r="Z443" t="s">
        <v>915</v>
      </c>
      <c r="AA443" t="s">
        <v>1095</v>
      </c>
      <c r="AB443" t="s">
        <v>1096</v>
      </c>
      <c r="AC443" t="s">
        <v>1097</v>
      </c>
      <c r="AD443" t="s">
        <v>132</v>
      </c>
      <c r="AE443" t="s">
        <v>514</v>
      </c>
      <c r="AF443" t="s">
        <v>100</v>
      </c>
      <c r="AG443" t="s">
        <v>102</v>
      </c>
      <c r="AH443" t="s">
        <v>102</v>
      </c>
      <c r="AI443" t="s">
        <v>134</v>
      </c>
      <c r="AJ443" t="s">
        <v>135</v>
      </c>
      <c r="AM443" t="s">
        <v>136</v>
      </c>
      <c r="AN443" t="s">
        <v>106</v>
      </c>
      <c r="AO443" s="7">
        <v>-5.65</v>
      </c>
      <c r="AP443">
        <v>-36.6</v>
      </c>
      <c r="AQ443">
        <v>103</v>
      </c>
      <c r="AW443" t="s">
        <v>108</v>
      </c>
      <c r="AX443">
        <v>18</v>
      </c>
      <c r="AY443" t="s">
        <v>103</v>
      </c>
      <c r="AZ443" t="s">
        <v>109</v>
      </c>
      <c r="BA443" t="s">
        <v>180</v>
      </c>
      <c r="BB443">
        <v>20</v>
      </c>
      <c r="BC443">
        <v>30</v>
      </c>
      <c r="BE443" t="s">
        <v>139</v>
      </c>
      <c r="BF443">
        <v>3</v>
      </c>
      <c r="BG443">
        <f t="shared" si="20"/>
        <v>0.90500000000000003</v>
      </c>
      <c r="BP443">
        <v>12</v>
      </c>
      <c r="BU443" t="s">
        <v>1099</v>
      </c>
      <c r="BV443">
        <v>43.1</v>
      </c>
      <c r="BW443">
        <v>0.3162278</v>
      </c>
      <c r="BX443">
        <v>10</v>
      </c>
      <c r="BY443">
        <v>44</v>
      </c>
      <c r="BZ443">
        <v>0.63245549999999995</v>
      </c>
      <c r="CA443">
        <v>11</v>
      </c>
      <c r="CB443" t="s">
        <v>113</v>
      </c>
      <c r="CC443" t="s">
        <v>1045</v>
      </c>
    </row>
    <row r="444" spans="1:81" x14ac:dyDescent="0.25">
      <c r="A444" t="s">
        <v>81</v>
      </c>
      <c r="B444">
        <v>443</v>
      </c>
      <c r="C444">
        <v>96</v>
      </c>
      <c r="D444">
        <v>89</v>
      </c>
      <c r="E444">
        <v>92</v>
      </c>
      <c r="F444">
        <v>103</v>
      </c>
      <c r="G444">
        <v>243</v>
      </c>
      <c r="H444">
        <v>340</v>
      </c>
      <c r="I444" t="s">
        <v>1082</v>
      </c>
      <c r="J444" t="s">
        <v>83</v>
      </c>
      <c r="M444" t="s">
        <v>746</v>
      </c>
      <c r="N444" t="s">
        <v>1083</v>
      </c>
      <c r="O444" t="s">
        <v>14</v>
      </c>
      <c r="P444" t="s">
        <v>1084</v>
      </c>
      <c r="Q444" t="s">
        <v>1085</v>
      </c>
      <c r="R444">
        <v>2015</v>
      </c>
      <c r="S444" t="s">
        <v>146</v>
      </c>
      <c r="U444" t="s">
        <v>1086</v>
      </c>
      <c r="V444" t="s">
        <v>1087</v>
      </c>
      <c r="W444" t="s">
        <v>91</v>
      </c>
      <c r="X444" t="s">
        <v>508</v>
      </c>
      <c r="Y444" t="s">
        <v>509</v>
      </c>
      <c r="Z444" t="s">
        <v>915</v>
      </c>
      <c r="AA444" t="s">
        <v>1095</v>
      </c>
      <c r="AB444" t="s">
        <v>1096</v>
      </c>
      <c r="AC444" t="s">
        <v>1097</v>
      </c>
      <c r="AD444" t="s">
        <v>132</v>
      </c>
      <c r="AE444" t="s">
        <v>514</v>
      </c>
      <c r="AF444" t="s">
        <v>100</v>
      </c>
      <c r="AG444" t="s">
        <v>102</v>
      </c>
      <c r="AH444" t="s">
        <v>102</v>
      </c>
      <c r="AI444" t="s">
        <v>134</v>
      </c>
      <c r="AJ444" t="s">
        <v>135</v>
      </c>
      <c r="AM444" t="s">
        <v>136</v>
      </c>
      <c r="AN444" t="s">
        <v>106</v>
      </c>
      <c r="AO444" s="7">
        <v>-5.65</v>
      </c>
      <c r="AP444">
        <v>-36.6</v>
      </c>
      <c r="AQ444">
        <v>103</v>
      </c>
      <c r="AW444" t="s">
        <v>108</v>
      </c>
      <c r="AX444">
        <v>18</v>
      </c>
      <c r="AY444" t="s">
        <v>103</v>
      </c>
      <c r="AZ444" t="s">
        <v>109</v>
      </c>
      <c r="BA444" t="s">
        <v>180</v>
      </c>
      <c r="BB444">
        <v>20</v>
      </c>
      <c r="BC444">
        <v>30</v>
      </c>
      <c r="BE444" t="s">
        <v>139</v>
      </c>
      <c r="BF444">
        <v>3</v>
      </c>
      <c r="BG444">
        <f t="shared" si="20"/>
        <v>0.90500000000000003</v>
      </c>
      <c r="BP444">
        <v>12</v>
      </c>
      <c r="BT444" t="s">
        <v>1100</v>
      </c>
      <c r="BU444" t="s">
        <v>1101</v>
      </c>
      <c r="BV444">
        <v>43</v>
      </c>
      <c r="BW444" t="s">
        <v>454</v>
      </c>
      <c r="BX444">
        <v>16</v>
      </c>
      <c r="BY444">
        <v>44.0625</v>
      </c>
      <c r="BZ444">
        <v>0.25</v>
      </c>
      <c r="CA444">
        <v>16</v>
      </c>
      <c r="CB444" t="s">
        <v>113</v>
      </c>
      <c r="CC444" t="s">
        <v>1045</v>
      </c>
    </row>
    <row r="445" spans="1:81" x14ac:dyDescent="0.25">
      <c r="A445" t="s">
        <v>81</v>
      </c>
      <c r="B445">
        <v>444</v>
      </c>
      <c r="C445">
        <v>96</v>
      </c>
      <c r="D445">
        <v>89</v>
      </c>
      <c r="E445">
        <v>92</v>
      </c>
      <c r="F445">
        <v>104</v>
      </c>
      <c r="G445">
        <v>244</v>
      </c>
      <c r="H445">
        <v>341</v>
      </c>
      <c r="I445" t="s">
        <v>1082</v>
      </c>
      <c r="J445" t="s">
        <v>83</v>
      </c>
      <c r="M445" t="s">
        <v>746</v>
      </c>
      <c r="N445" t="s">
        <v>1083</v>
      </c>
      <c r="O445" t="s">
        <v>14</v>
      </c>
      <c r="P445" t="s">
        <v>1084</v>
      </c>
      <c r="Q445" t="s">
        <v>1085</v>
      </c>
      <c r="R445">
        <v>2015</v>
      </c>
      <c r="S445" t="s">
        <v>146</v>
      </c>
      <c r="U445" t="s">
        <v>1086</v>
      </c>
      <c r="V445" t="s">
        <v>1087</v>
      </c>
      <c r="W445" t="s">
        <v>91</v>
      </c>
      <c r="X445" t="s">
        <v>508</v>
      </c>
      <c r="Y445" t="s">
        <v>509</v>
      </c>
      <c r="Z445" t="s">
        <v>915</v>
      </c>
      <c r="AA445" t="s">
        <v>1095</v>
      </c>
      <c r="AB445" t="s">
        <v>1096</v>
      </c>
      <c r="AC445" t="s">
        <v>1097</v>
      </c>
      <c r="AD445" t="s">
        <v>132</v>
      </c>
      <c r="AE445" t="s">
        <v>514</v>
      </c>
      <c r="AF445" t="s">
        <v>100</v>
      </c>
      <c r="AG445" t="s">
        <v>102</v>
      </c>
      <c r="AH445" t="s">
        <v>102</v>
      </c>
      <c r="AI445" t="s">
        <v>134</v>
      </c>
      <c r="AJ445" t="s">
        <v>135</v>
      </c>
      <c r="AM445" t="s">
        <v>136</v>
      </c>
      <c r="AN445" t="s">
        <v>106</v>
      </c>
      <c r="AO445" s="7">
        <v>-5.65</v>
      </c>
      <c r="AP445">
        <v>-36.6</v>
      </c>
      <c r="AQ445">
        <v>103</v>
      </c>
      <c r="AW445" t="s">
        <v>108</v>
      </c>
      <c r="AX445">
        <v>18</v>
      </c>
      <c r="AY445" t="s">
        <v>103</v>
      </c>
      <c r="AZ445" t="s">
        <v>109</v>
      </c>
      <c r="BA445" t="s">
        <v>180</v>
      </c>
      <c r="BB445">
        <v>20</v>
      </c>
      <c r="BC445">
        <v>30</v>
      </c>
      <c r="BE445" t="s">
        <v>139</v>
      </c>
      <c r="BF445">
        <v>3</v>
      </c>
      <c r="BG445">
        <f t="shared" si="20"/>
        <v>0.90500000000000003</v>
      </c>
      <c r="BP445">
        <v>12</v>
      </c>
      <c r="BU445" t="s">
        <v>1102</v>
      </c>
      <c r="BV445">
        <v>42.875</v>
      </c>
      <c r="BW445">
        <v>0.34156500000000001</v>
      </c>
      <c r="BX445">
        <v>16</v>
      </c>
      <c r="BY445">
        <v>44.0625</v>
      </c>
      <c r="BZ445">
        <v>0.25</v>
      </c>
      <c r="CA445">
        <v>16</v>
      </c>
      <c r="CB445" t="s">
        <v>113</v>
      </c>
      <c r="CC445" t="s">
        <v>1045</v>
      </c>
    </row>
    <row r="446" spans="1:81" x14ac:dyDescent="0.25">
      <c r="A446" t="s">
        <v>81</v>
      </c>
      <c r="B446">
        <v>445</v>
      </c>
      <c r="C446">
        <v>96</v>
      </c>
      <c r="D446">
        <v>89</v>
      </c>
      <c r="E446">
        <v>92</v>
      </c>
      <c r="F446">
        <v>105</v>
      </c>
      <c r="G446">
        <v>245</v>
      </c>
      <c r="H446">
        <v>342</v>
      </c>
      <c r="I446" t="s">
        <v>1082</v>
      </c>
      <c r="J446" t="s">
        <v>83</v>
      </c>
      <c r="M446" t="s">
        <v>746</v>
      </c>
      <c r="N446" t="s">
        <v>1083</v>
      </c>
      <c r="O446" t="s">
        <v>14</v>
      </c>
      <c r="P446" t="s">
        <v>1084</v>
      </c>
      <c r="Q446" t="s">
        <v>1085</v>
      </c>
      <c r="R446">
        <v>2015</v>
      </c>
      <c r="S446" t="s">
        <v>146</v>
      </c>
      <c r="U446" t="s">
        <v>1086</v>
      </c>
      <c r="V446" t="s">
        <v>1087</v>
      </c>
      <c r="W446" t="s">
        <v>91</v>
      </c>
      <c r="X446" t="s">
        <v>508</v>
      </c>
      <c r="Y446" t="s">
        <v>509</v>
      </c>
      <c r="Z446" t="s">
        <v>915</v>
      </c>
      <c r="AA446" t="s">
        <v>1095</v>
      </c>
      <c r="AB446" t="s">
        <v>1096</v>
      </c>
      <c r="AC446" t="s">
        <v>1097</v>
      </c>
      <c r="AD446" t="s">
        <v>132</v>
      </c>
      <c r="AE446" t="s">
        <v>514</v>
      </c>
      <c r="AF446" t="s">
        <v>100</v>
      </c>
      <c r="AG446" t="s">
        <v>102</v>
      </c>
      <c r="AH446" t="s">
        <v>102</v>
      </c>
      <c r="AI446" t="s">
        <v>134</v>
      </c>
      <c r="AJ446" t="s">
        <v>135</v>
      </c>
      <c r="AM446" t="s">
        <v>136</v>
      </c>
      <c r="AN446" t="s">
        <v>106</v>
      </c>
      <c r="AO446" s="7">
        <v>-5.65</v>
      </c>
      <c r="AP446">
        <v>-36.6</v>
      </c>
      <c r="AQ446">
        <v>103</v>
      </c>
      <c r="AW446" t="s">
        <v>108</v>
      </c>
      <c r="AX446">
        <v>18</v>
      </c>
      <c r="AY446" t="s">
        <v>103</v>
      </c>
      <c r="AZ446" t="s">
        <v>109</v>
      </c>
      <c r="BA446" t="s">
        <v>180</v>
      </c>
      <c r="BB446">
        <v>20</v>
      </c>
      <c r="BC446">
        <v>30</v>
      </c>
      <c r="BE446" t="s">
        <v>139</v>
      </c>
      <c r="BF446">
        <v>3</v>
      </c>
      <c r="BG446">
        <f t="shared" si="20"/>
        <v>0.90500000000000003</v>
      </c>
      <c r="BP446">
        <v>12</v>
      </c>
      <c r="BU446" t="s">
        <v>1103</v>
      </c>
      <c r="BV446">
        <v>43.1875</v>
      </c>
      <c r="BW446">
        <v>0.4031129</v>
      </c>
      <c r="BX446">
        <v>16</v>
      </c>
      <c r="BY446">
        <v>44.733330000000002</v>
      </c>
      <c r="BZ446">
        <v>0.45773770000000003</v>
      </c>
      <c r="CA446">
        <v>15</v>
      </c>
      <c r="CB446" t="s">
        <v>113</v>
      </c>
      <c r="CC446" t="s">
        <v>1045</v>
      </c>
    </row>
    <row r="447" spans="1:81" x14ac:dyDescent="0.25">
      <c r="A447" t="s">
        <v>81</v>
      </c>
      <c r="B447">
        <v>446</v>
      </c>
      <c r="C447">
        <v>96</v>
      </c>
      <c r="D447">
        <v>90</v>
      </c>
      <c r="E447">
        <v>93</v>
      </c>
      <c r="F447">
        <v>106</v>
      </c>
      <c r="G447">
        <v>246</v>
      </c>
      <c r="H447">
        <v>343</v>
      </c>
      <c r="I447" t="s">
        <v>1082</v>
      </c>
      <c r="J447" t="s">
        <v>83</v>
      </c>
      <c r="M447" t="s">
        <v>746</v>
      </c>
      <c r="N447" t="s">
        <v>1083</v>
      </c>
      <c r="O447" t="s">
        <v>14</v>
      </c>
      <c r="P447" t="s">
        <v>1084</v>
      </c>
      <c r="Q447" t="s">
        <v>1085</v>
      </c>
      <c r="R447">
        <v>2015</v>
      </c>
      <c r="S447" t="s">
        <v>146</v>
      </c>
      <c r="U447" t="s">
        <v>1086</v>
      </c>
      <c r="V447" t="s">
        <v>1087</v>
      </c>
      <c r="W447" t="s">
        <v>91</v>
      </c>
      <c r="X447" t="s">
        <v>508</v>
      </c>
      <c r="Y447" t="s">
        <v>509</v>
      </c>
      <c r="Z447" t="s">
        <v>915</v>
      </c>
      <c r="AA447" t="s">
        <v>1104</v>
      </c>
      <c r="AB447" t="s">
        <v>1105</v>
      </c>
      <c r="AC447" t="s">
        <v>1106</v>
      </c>
      <c r="AD447" t="s">
        <v>132</v>
      </c>
      <c r="AE447" t="s">
        <v>514</v>
      </c>
      <c r="AF447" t="s">
        <v>100</v>
      </c>
      <c r="AG447" t="s">
        <v>102</v>
      </c>
      <c r="AH447" t="s">
        <v>102</v>
      </c>
      <c r="AI447" t="s">
        <v>134</v>
      </c>
      <c r="AJ447" t="s">
        <v>135</v>
      </c>
      <c r="AM447" t="s">
        <v>136</v>
      </c>
      <c r="AN447" t="s">
        <v>106</v>
      </c>
      <c r="AO447">
        <v>-23.633400000000002</v>
      </c>
      <c r="AP447">
        <v>-45.866700000000002</v>
      </c>
      <c r="AQ447">
        <v>936</v>
      </c>
      <c r="AW447" t="s">
        <v>108</v>
      </c>
      <c r="AX447">
        <v>18</v>
      </c>
      <c r="AY447" t="s">
        <v>103</v>
      </c>
      <c r="AZ447" t="s">
        <v>109</v>
      </c>
      <c r="BA447" t="s">
        <v>180</v>
      </c>
      <c r="BB447">
        <v>20</v>
      </c>
      <c r="BC447">
        <v>30</v>
      </c>
      <c r="BE447" t="s">
        <v>139</v>
      </c>
      <c r="BF447">
        <v>3</v>
      </c>
      <c r="BG447">
        <f t="shared" si="20"/>
        <v>0.90500000000000003</v>
      </c>
      <c r="BP447">
        <v>12</v>
      </c>
      <c r="BU447" t="s">
        <v>1107</v>
      </c>
      <c r="BV447">
        <v>40.4375</v>
      </c>
      <c r="BW447">
        <v>0.62915290000000001</v>
      </c>
      <c r="BX447">
        <v>16</v>
      </c>
      <c r="BY447">
        <v>41.928570000000001</v>
      </c>
      <c r="BZ447">
        <v>0.47463109999999997</v>
      </c>
      <c r="CA447">
        <v>14</v>
      </c>
      <c r="CB447" t="s">
        <v>113</v>
      </c>
      <c r="CC447" t="s">
        <v>1045</v>
      </c>
    </row>
    <row r="448" spans="1:81" x14ac:dyDescent="0.25">
      <c r="A448" t="s">
        <v>81</v>
      </c>
      <c r="B448">
        <v>447</v>
      </c>
      <c r="C448">
        <v>96</v>
      </c>
      <c r="D448">
        <v>90</v>
      </c>
      <c r="E448">
        <v>93</v>
      </c>
      <c r="F448">
        <v>107</v>
      </c>
      <c r="G448">
        <v>247</v>
      </c>
      <c r="H448">
        <v>344</v>
      </c>
      <c r="I448" t="s">
        <v>1082</v>
      </c>
      <c r="J448" t="s">
        <v>83</v>
      </c>
      <c r="M448" t="s">
        <v>746</v>
      </c>
      <c r="N448" t="s">
        <v>1083</v>
      </c>
      <c r="O448" t="s">
        <v>14</v>
      </c>
      <c r="P448" t="s">
        <v>1084</v>
      </c>
      <c r="Q448" t="s">
        <v>1085</v>
      </c>
      <c r="R448">
        <v>2015</v>
      </c>
      <c r="S448" t="s">
        <v>146</v>
      </c>
      <c r="U448" t="s">
        <v>1086</v>
      </c>
      <c r="V448" t="s">
        <v>1087</v>
      </c>
      <c r="W448" t="s">
        <v>91</v>
      </c>
      <c r="X448" t="s">
        <v>508</v>
      </c>
      <c r="Y448" t="s">
        <v>509</v>
      </c>
      <c r="Z448" t="s">
        <v>915</v>
      </c>
      <c r="AA448" t="s">
        <v>1104</v>
      </c>
      <c r="AB448" t="s">
        <v>1105</v>
      </c>
      <c r="AC448" t="s">
        <v>1106</v>
      </c>
      <c r="AD448" t="s">
        <v>132</v>
      </c>
      <c r="AE448" t="s">
        <v>514</v>
      </c>
      <c r="AF448" t="s">
        <v>100</v>
      </c>
      <c r="AG448" t="s">
        <v>102</v>
      </c>
      <c r="AH448" t="s">
        <v>102</v>
      </c>
      <c r="AI448" t="s">
        <v>134</v>
      </c>
      <c r="AJ448" t="s">
        <v>135</v>
      </c>
      <c r="AM448" t="s">
        <v>136</v>
      </c>
      <c r="AN448" t="s">
        <v>106</v>
      </c>
      <c r="AO448">
        <v>-23.633400000000002</v>
      </c>
      <c r="AP448">
        <v>-45.866700000000002</v>
      </c>
      <c r="AQ448">
        <v>936</v>
      </c>
      <c r="AW448" t="s">
        <v>108</v>
      </c>
      <c r="AX448">
        <v>18</v>
      </c>
      <c r="AY448" t="s">
        <v>103</v>
      </c>
      <c r="AZ448" t="s">
        <v>109</v>
      </c>
      <c r="BA448" t="s">
        <v>180</v>
      </c>
      <c r="BB448">
        <v>20</v>
      </c>
      <c r="BC448">
        <v>30</v>
      </c>
      <c r="BE448" t="s">
        <v>139</v>
      </c>
      <c r="BF448">
        <v>3</v>
      </c>
      <c r="BG448">
        <f t="shared" si="20"/>
        <v>0.90500000000000003</v>
      </c>
      <c r="BP448">
        <v>12</v>
      </c>
      <c r="BU448" t="s">
        <v>1108</v>
      </c>
      <c r="BV448">
        <v>39.909089999999999</v>
      </c>
      <c r="BW448">
        <v>0.70064899999999997</v>
      </c>
      <c r="BX448">
        <v>11</v>
      </c>
      <c r="BY448">
        <v>41.916670000000003</v>
      </c>
      <c r="BZ448">
        <v>0.19462470000000001</v>
      </c>
      <c r="CA448">
        <v>12</v>
      </c>
      <c r="CB448" t="s">
        <v>113</v>
      </c>
      <c r="CC448" t="s">
        <v>1045</v>
      </c>
    </row>
    <row r="449" spans="1:81" x14ac:dyDescent="0.25">
      <c r="A449" t="s">
        <v>81</v>
      </c>
      <c r="B449">
        <v>448</v>
      </c>
      <c r="C449">
        <v>96</v>
      </c>
      <c r="D449">
        <v>91</v>
      </c>
      <c r="E449">
        <v>94</v>
      </c>
      <c r="F449">
        <v>108</v>
      </c>
      <c r="G449">
        <v>248</v>
      </c>
      <c r="H449">
        <v>345</v>
      </c>
      <c r="I449" t="s">
        <v>1082</v>
      </c>
      <c r="J449" t="s">
        <v>83</v>
      </c>
      <c r="M449" t="s">
        <v>746</v>
      </c>
      <c r="N449" t="s">
        <v>1083</v>
      </c>
      <c r="O449" t="s">
        <v>14</v>
      </c>
      <c r="P449" t="s">
        <v>1084</v>
      </c>
      <c r="Q449" t="s">
        <v>1085</v>
      </c>
      <c r="R449">
        <v>2015</v>
      </c>
      <c r="S449" t="s">
        <v>146</v>
      </c>
      <c r="U449" t="s">
        <v>1086</v>
      </c>
      <c r="V449" t="s">
        <v>1087</v>
      </c>
      <c r="W449" t="s">
        <v>91</v>
      </c>
      <c r="X449" t="s">
        <v>508</v>
      </c>
      <c r="Y449" t="s">
        <v>509</v>
      </c>
      <c r="Z449" t="s">
        <v>510</v>
      </c>
      <c r="AA449" t="s">
        <v>511</v>
      </c>
      <c r="AB449" t="s">
        <v>1109</v>
      </c>
      <c r="AC449" t="s">
        <v>1110</v>
      </c>
      <c r="AD449" t="s">
        <v>132</v>
      </c>
      <c r="AE449" t="s">
        <v>514</v>
      </c>
      <c r="AF449" t="s">
        <v>100</v>
      </c>
      <c r="AG449" t="s">
        <v>102</v>
      </c>
      <c r="AH449" t="s">
        <v>102</v>
      </c>
      <c r="AI449" t="s">
        <v>134</v>
      </c>
      <c r="AJ449" t="s">
        <v>135</v>
      </c>
      <c r="AM449" t="s">
        <v>136</v>
      </c>
      <c r="AN449" t="s">
        <v>106</v>
      </c>
      <c r="AO449" s="7">
        <v>-5.65</v>
      </c>
      <c r="AP449">
        <v>-36.6</v>
      </c>
      <c r="AQ449">
        <v>103</v>
      </c>
      <c r="AW449" t="s">
        <v>108</v>
      </c>
      <c r="AX449">
        <v>18</v>
      </c>
      <c r="AY449" t="s">
        <v>103</v>
      </c>
      <c r="AZ449" t="s">
        <v>109</v>
      </c>
      <c r="BA449" t="s">
        <v>180</v>
      </c>
      <c r="BB449">
        <v>20</v>
      </c>
      <c r="BC449">
        <v>30</v>
      </c>
      <c r="BE449" t="s">
        <v>139</v>
      </c>
      <c r="BF449">
        <v>3</v>
      </c>
      <c r="BG449">
        <f t="shared" si="20"/>
        <v>0.90500000000000003</v>
      </c>
      <c r="BP449">
        <v>12</v>
      </c>
      <c r="BU449" t="s">
        <v>1111</v>
      </c>
      <c r="BV449">
        <v>43</v>
      </c>
      <c r="BW449">
        <v>0.75592890000000001</v>
      </c>
      <c r="BX449">
        <v>8</v>
      </c>
      <c r="BY449">
        <v>44.384619999999998</v>
      </c>
      <c r="BZ449">
        <v>0.96076890000000004</v>
      </c>
      <c r="CA449">
        <v>13</v>
      </c>
      <c r="CB449" t="s">
        <v>113</v>
      </c>
      <c r="CC449" t="s">
        <v>1045</v>
      </c>
    </row>
    <row r="450" spans="1:81" x14ac:dyDescent="0.25">
      <c r="A450" t="s">
        <v>81</v>
      </c>
      <c r="B450">
        <v>449</v>
      </c>
      <c r="C450">
        <v>96</v>
      </c>
      <c r="D450">
        <v>92</v>
      </c>
      <c r="E450">
        <v>95</v>
      </c>
      <c r="F450">
        <v>109</v>
      </c>
      <c r="G450">
        <v>249</v>
      </c>
      <c r="H450">
        <v>346</v>
      </c>
      <c r="I450" t="s">
        <v>1082</v>
      </c>
      <c r="J450" t="s">
        <v>83</v>
      </c>
      <c r="M450" t="s">
        <v>746</v>
      </c>
      <c r="N450" t="s">
        <v>1083</v>
      </c>
      <c r="O450" t="s">
        <v>14</v>
      </c>
      <c r="P450" t="s">
        <v>1084</v>
      </c>
      <c r="Q450" t="s">
        <v>1085</v>
      </c>
      <c r="R450">
        <v>2015</v>
      </c>
      <c r="S450" t="s">
        <v>146</v>
      </c>
      <c r="U450" t="s">
        <v>1086</v>
      </c>
      <c r="V450" t="s">
        <v>1087</v>
      </c>
      <c r="W450" t="s">
        <v>91</v>
      </c>
      <c r="X450" t="s">
        <v>508</v>
      </c>
      <c r="Y450" t="s">
        <v>509</v>
      </c>
      <c r="Z450" t="s">
        <v>510</v>
      </c>
      <c r="AA450" t="s">
        <v>511</v>
      </c>
      <c r="AB450" t="s">
        <v>1112</v>
      </c>
      <c r="AC450" t="s">
        <v>1113</v>
      </c>
      <c r="AD450" t="s">
        <v>132</v>
      </c>
      <c r="AE450" t="s">
        <v>514</v>
      </c>
      <c r="AF450" t="s">
        <v>100</v>
      </c>
      <c r="AG450" t="s">
        <v>102</v>
      </c>
      <c r="AH450" t="s">
        <v>102</v>
      </c>
      <c r="AI450" t="s">
        <v>134</v>
      </c>
      <c r="AJ450" t="s">
        <v>135</v>
      </c>
      <c r="AM450" t="s">
        <v>136</v>
      </c>
      <c r="AN450" t="s">
        <v>106</v>
      </c>
      <c r="AO450">
        <v>-23.633400000000002</v>
      </c>
      <c r="AP450">
        <v>-45.866700000000002</v>
      </c>
      <c r="AQ450">
        <v>936</v>
      </c>
      <c r="AW450" t="s">
        <v>108</v>
      </c>
      <c r="AX450">
        <v>18</v>
      </c>
      <c r="AY450" t="s">
        <v>103</v>
      </c>
      <c r="AZ450" t="s">
        <v>109</v>
      </c>
      <c r="BA450" t="s">
        <v>180</v>
      </c>
      <c r="BB450">
        <v>20</v>
      </c>
      <c r="BC450">
        <v>30</v>
      </c>
      <c r="BE450" t="s">
        <v>139</v>
      </c>
      <c r="BF450">
        <v>3</v>
      </c>
      <c r="BG450">
        <f t="shared" si="20"/>
        <v>0.90500000000000003</v>
      </c>
      <c r="BP450">
        <v>12</v>
      </c>
      <c r="BU450" t="s">
        <v>1114</v>
      </c>
      <c r="BV450">
        <v>42.5</v>
      </c>
      <c r="BW450">
        <v>0.48304589999999997</v>
      </c>
      <c r="BX450">
        <v>16</v>
      </c>
      <c r="BY450">
        <v>43.25</v>
      </c>
      <c r="BZ450">
        <v>0.84515430000000002</v>
      </c>
      <c r="CA450">
        <v>8</v>
      </c>
      <c r="CB450" t="s">
        <v>113</v>
      </c>
      <c r="CC450" t="s">
        <v>1045</v>
      </c>
    </row>
    <row r="451" spans="1:81" x14ac:dyDescent="0.25">
      <c r="A451" t="s">
        <v>81</v>
      </c>
      <c r="B451">
        <v>450</v>
      </c>
      <c r="C451">
        <v>96</v>
      </c>
      <c r="D451">
        <v>92</v>
      </c>
      <c r="E451">
        <v>95</v>
      </c>
      <c r="F451">
        <v>110</v>
      </c>
      <c r="G451">
        <v>250</v>
      </c>
      <c r="H451">
        <v>347</v>
      </c>
      <c r="I451" t="s">
        <v>1082</v>
      </c>
      <c r="J451" t="s">
        <v>83</v>
      </c>
      <c r="M451" t="s">
        <v>746</v>
      </c>
      <c r="N451" t="s">
        <v>1083</v>
      </c>
      <c r="O451" t="s">
        <v>14</v>
      </c>
      <c r="P451" t="s">
        <v>1084</v>
      </c>
      <c r="Q451" t="s">
        <v>1085</v>
      </c>
      <c r="R451">
        <v>2015</v>
      </c>
      <c r="S451" t="s">
        <v>146</v>
      </c>
      <c r="U451" t="s">
        <v>1086</v>
      </c>
      <c r="V451" t="s">
        <v>1087</v>
      </c>
      <c r="W451" t="s">
        <v>91</v>
      </c>
      <c r="X451" t="s">
        <v>508</v>
      </c>
      <c r="Y451" t="s">
        <v>509</v>
      </c>
      <c r="Z451" t="s">
        <v>510</v>
      </c>
      <c r="AA451" t="s">
        <v>511</v>
      </c>
      <c r="AB451" t="s">
        <v>1112</v>
      </c>
      <c r="AC451" t="s">
        <v>1113</v>
      </c>
      <c r="AD451" t="s">
        <v>132</v>
      </c>
      <c r="AE451" t="s">
        <v>514</v>
      </c>
      <c r="AF451" t="s">
        <v>100</v>
      </c>
      <c r="AG451" t="s">
        <v>102</v>
      </c>
      <c r="AH451" t="s">
        <v>102</v>
      </c>
      <c r="AI451" t="s">
        <v>134</v>
      </c>
      <c r="AJ451" t="s">
        <v>135</v>
      </c>
      <c r="AM451" t="s">
        <v>136</v>
      </c>
      <c r="AN451" t="s">
        <v>106</v>
      </c>
      <c r="AO451">
        <v>-23.633400000000002</v>
      </c>
      <c r="AP451">
        <v>-45.866700000000002</v>
      </c>
      <c r="AQ451">
        <v>936</v>
      </c>
      <c r="AW451" t="s">
        <v>108</v>
      </c>
      <c r="AX451">
        <v>18</v>
      </c>
      <c r="AY451" t="s">
        <v>103</v>
      </c>
      <c r="AZ451" t="s">
        <v>109</v>
      </c>
      <c r="BA451" t="s">
        <v>180</v>
      </c>
      <c r="BB451">
        <v>20</v>
      </c>
      <c r="BC451">
        <v>30</v>
      </c>
      <c r="BE451" t="s">
        <v>139</v>
      </c>
      <c r="BF451">
        <v>3</v>
      </c>
      <c r="BG451">
        <f t="shared" si="20"/>
        <v>0.90500000000000003</v>
      </c>
      <c r="BP451">
        <v>12</v>
      </c>
      <c r="BU451" t="s">
        <v>1115</v>
      </c>
      <c r="BV451">
        <v>41.466670000000001</v>
      </c>
      <c r="BW451">
        <v>0.99043040000000004</v>
      </c>
      <c r="BX451">
        <v>15</v>
      </c>
      <c r="BY451">
        <v>42.5</v>
      </c>
      <c r="BZ451">
        <v>0.51887450000000002</v>
      </c>
      <c r="CA451">
        <v>14</v>
      </c>
      <c r="CB451" t="s">
        <v>113</v>
      </c>
      <c r="CC451" t="s">
        <v>1045</v>
      </c>
    </row>
    <row r="452" spans="1:81" x14ac:dyDescent="0.25">
      <c r="A452" t="s">
        <v>81</v>
      </c>
      <c r="B452">
        <v>451</v>
      </c>
      <c r="C452">
        <v>96</v>
      </c>
      <c r="D452">
        <v>93</v>
      </c>
      <c r="E452">
        <v>96</v>
      </c>
      <c r="F452">
        <v>111</v>
      </c>
      <c r="G452">
        <v>251</v>
      </c>
      <c r="H452">
        <v>348</v>
      </c>
      <c r="I452" t="s">
        <v>1082</v>
      </c>
      <c r="J452" t="s">
        <v>83</v>
      </c>
      <c r="M452" t="s">
        <v>746</v>
      </c>
      <c r="N452" t="s">
        <v>1083</v>
      </c>
      <c r="O452" t="s">
        <v>14</v>
      </c>
      <c r="P452" t="s">
        <v>1084</v>
      </c>
      <c r="Q452" t="s">
        <v>1085</v>
      </c>
      <c r="R452">
        <v>2015</v>
      </c>
      <c r="S452" t="s">
        <v>146</v>
      </c>
      <c r="U452" t="s">
        <v>1086</v>
      </c>
      <c r="V452" t="s">
        <v>1087</v>
      </c>
      <c r="W452" t="s">
        <v>91</v>
      </c>
      <c r="X452" t="s">
        <v>508</v>
      </c>
      <c r="Y452" t="s">
        <v>509</v>
      </c>
      <c r="Z452" t="s">
        <v>510</v>
      </c>
      <c r="AA452" t="s">
        <v>511</v>
      </c>
      <c r="AB452" t="s">
        <v>1116</v>
      </c>
      <c r="AC452" t="s">
        <v>1117</v>
      </c>
      <c r="AD452" t="s">
        <v>132</v>
      </c>
      <c r="AE452" t="s">
        <v>514</v>
      </c>
      <c r="AF452" t="s">
        <v>100</v>
      </c>
      <c r="AG452" t="s">
        <v>102</v>
      </c>
      <c r="AH452" t="s">
        <v>102</v>
      </c>
      <c r="AI452" t="s">
        <v>134</v>
      </c>
      <c r="AJ452" t="s">
        <v>135</v>
      </c>
      <c r="AM452" t="s">
        <v>136</v>
      </c>
      <c r="AN452" t="s">
        <v>106</v>
      </c>
      <c r="AO452">
        <v>-23.633400000000002</v>
      </c>
      <c r="AP452">
        <v>-45.866700000000002</v>
      </c>
      <c r="AQ452">
        <v>936</v>
      </c>
      <c r="AW452" t="s">
        <v>108</v>
      </c>
      <c r="AX452">
        <v>18</v>
      </c>
      <c r="AY452" t="s">
        <v>103</v>
      </c>
      <c r="AZ452" t="s">
        <v>109</v>
      </c>
      <c r="BA452" t="s">
        <v>180</v>
      </c>
      <c r="BB452">
        <v>20</v>
      </c>
      <c r="BC452">
        <v>30</v>
      </c>
      <c r="BE452" t="s">
        <v>139</v>
      </c>
      <c r="BF452">
        <v>3</v>
      </c>
      <c r="BG452">
        <f t="shared" si="20"/>
        <v>0.90500000000000003</v>
      </c>
      <c r="BP452">
        <v>12</v>
      </c>
      <c r="BU452" t="s">
        <v>1118</v>
      </c>
      <c r="BV452">
        <v>39.5</v>
      </c>
      <c r="BW452">
        <v>1.0327956</v>
      </c>
      <c r="BX452">
        <v>16</v>
      </c>
      <c r="BY452">
        <v>42.466670000000001</v>
      </c>
      <c r="BZ452">
        <v>0.51639780000000002</v>
      </c>
      <c r="CA452">
        <v>15</v>
      </c>
      <c r="CB452" t="s">
        <v>113</v>
      </c>
      <c r="CC452" t="s">
        <v>1045</v>
      </c>
    </row>
    <row r="453" spans="1:81" x14ac:dyDescent="0.25">
      <c r="A453" t="s">
        <v>81</v>
      </c>
      <c r="B453">
        <v>452</v>
      </c>
      <c r="C453">
        <v>97</v>
      </c>
      <c r="D453">
        <v>85</v>
      </c>
      <c r="E453">
        <v>97</v>
      </c>
      <c r="F453">
        <v>98</v>
      </c>
      <c r="G453">
        <v>252</v>
      </c>
      <c r="H453">
        <v>349</v>
      </c>
      <c r="J453" t="s">
        <v>338</v>
      </c>
      <c r="L453" t="s">
        <v>1119</v>
      </c>
      <c r="M453" t="s">
        <v>85</v>
      </c>
      <c r="O453" t="s">
        <v>14</v>
      </c>
      <c r="P453" t="s">
        <v>1120</v>
      </c>
      <c r="Q453" t="s">
        <v>1121</v>
      </c>
      <c r="R453">
        <v>2016</v>
      </c>
      <c r="S453" t="s">
        <v>158</v>
      </c>
      <c r="U453" t="s">
        <v>1122</v>
      </c>
      <c r="V453" t="s">
        <v>1123</v>
      </c>
      <c r="W453" t="s">
        <v>170</v>
      </c>
      <c r="X453" t="s">
        <v>171</v>
      </c>
      <c r="Y453" t="s">
        <v>1006</v>
      </c>
      <c r="Z453" t="s">
        <v>1007</v>
      </c>
      <c r="AA453" t="s">
        <v>1008</v>
      </c>
      <c r="AB453" t="s">
        <v>1009</v>
      </c>
      <c r="AC453" t="s">
        <v>1010</v>
      </c>
      <c r="AD453" t="s">
        <v>98</v>
      </c>
      <c r="AE453" t="s">
        <v>177</v>
      </c>
      <c r="AF453" t="s">
        <v>100</v>
      </c>
      <c r="AG453" t="s">
        <v>261</v>
      </c>
      <c r="AH453" t="s">
        <v>262</v>
      </c>
      <c r="AI453" t="s">
        <v>103</v>
      </c>
      <c r="AJ453" t="s">
        <v>104</v>
      </c>
      <c r="AK453">
        <f>3/24</f>
        <v>0.125</v>
      </c>
      <c r="AL453">
        <v>15</v>
      </c>
      <c r="AM453" t="s">
        <v>263</v>
      </c>
      <c r="AN453" t="s">
        <v>106</v>
      </c>
      <c r="AO453">
        <v>55.945127777800003</v>
      </c>
      <c r="AP453">
        <v>10.2125861111</v>
      </c>
      <c r="AQ453">
        <v>18</v>
      </c>
      <c r="AR453" t="s">
        <v>179</v>
      </c>
      <c r="AS453">
        <v>2010</v>
      </c>
      <c r="AV453">
        <f>3/24</f>
        <v>0.125</v>
      </c>
      <c r="AW453" t="s">
        <v>269</v>
      </c>
      <c r="AX453">
        <v>20</v>
      </c>
      <c r="AY453" t="s">
        <v>134</v>
      </c>
      <c r="AZ453" t="s">
        <v>109</v>
      </c>
      <c r="BA453" t="s">
        <v>180</v>
      </c>
      <c r="BB453">
        <v>15</v>
      </c>
      <c r="BC453">
        <v>25</v>
      </c>
      <c r="BE453" t="s">
        <v>139</v>
      </c>
      <c r="BG453">
        <v>0.1</v>
      </c>
      <c r="BP453">
        <v>12</v>
      </c>
      <c r="BS453" t="s">
        <v>1124</v>
      </c>
      <c r="BU453" t="s">
        <v>1125</v>
      </c>
      <c r="BV453">
        <v>38.821429999999999</v>
      </c>
      <c r="BW453">
        <v>0.68451059999999997</v>
      </c>
      <c r="BX453">
        <v>20</v>
      </c>
      <c r="BY453">
        <v>40.278570000000002</v>
      </c>
      <c r="BZ453">
        <v>0.26076589999999999</v>
      </c>
      <c r="CA453">
        <v>20</v>
      </c>
      <c r="CB453" t="s">
        <v>113</v>
      </c>
      <c r="CC453" t="s">
        <v>1126</v>
      </c>
    </row>
    <row r="454" spans="1:81" x14ac:dyDescent="0.25">
      <c r="A454" t="s">
        <v>81</v>
      </c>
      <c r="B454">
        <v>453</v>
      </c>
      <c r="C454">
        <v>97</v>
      </c>
      <c r="D454">
        <v>85</v>
      </c>
      <c r="E454">
        <v>97</v>
      </c>
      <c r="F454">
        <v>98</v>
      </c>
      <c r="G454">
        <v>253</v>
      </c>
      <c r="H454">
        <v>350</v>
      </c>
      <c r="J454" t="s">
        <v>338</v>
      </c>
      <c r="L454" t="s">
        <v>1119</v>
      </c>
      <c r="M454" t="s">
        <v>85</v>
      </c>
      <c r="O454" t="s">
        <v>14</v>
      </c>
      <c r="P454" t="s">
        <v>1120</v>
      </c>
      <c r="Q454" t="s">
        <v>1121</v>
      </c>
      <c r="R454">
        <v>2016</v>
      </c>
      <c r="S454" t="s">
        <v>158</v>
      </c>
      <c r="U454" t="s">
        <v>1122</v>
      </c>
      <c r="V454" t="s">
        <v>1123</v>
      </c>
      <c r="W454" t="s">
        <v>170</v>
      </c>
      <c r="X454" t="s">
        <v>171</v>
      </c>
      <c r="Y454" t="s">
        <v>1006</v>
      </c>
      <c r="Z454" t="s">
        <v>1007</v>
      </c>
      <c r="AA454" t="s">
        <v>1008</v>
      </c>
      <c r="AB454" t="s">
        <v>1009</v>
      </c>
      <c r="AC454" t="s">
        <v>1010</v>
      </c>
      <c r="AD454" t="s">
        <v>98</v>
      </c>
      <c r="AE454" t="s">
        <v>177</v>
      </c>
      <c r="AF454" t="s">
        <v>100</v>
      </c>
      <c r="AG454" t="s">
        <v>261</v>
      </c>
      <c r="AH454" t="s">
        <v>262</v>
      </c>
      <c r="AI454" t="s">
        <v>103</v>
      </c>
      <c r="AJ454" t="s">
        <v>104</v>
      </c>
      <c r="AK454">
        <f>6/24</f>
        <v>0.25</v>
      </c>
      <c r="AL454">
        <v>15</v>
      </c>
      <c r="AM454" t="s">
        <v>263</v>
      </c>
      <c r="AN454" t="s">
        <v>106</v>
      </c>
      <c r="AO454">
        <v>55.945127777800003</v>
      </c>
      <c r="AP454">
        <v>10.2125861111</v>
      </c>
      <c r="AQ454">
        <v>18</v>
      </c>
      <c r="AR454" t="s">
        <v>179</v>
      </c>
      <c r="AS454">
        <v>2010</v>
      </c>
      <c r="AV454">
        <f>6/24</f>
        <v>0.25</v>
      </c>
      <c r="AW454" t="s">
        <v>269</v>
      </c>
      <c r="AX454">
        <v>20</v>
      </c>
      <c r="AY454" t="s">
        <v>134</v>
      </c>
      <c r="AZ454" t="s">
        <v>109</v>
      </c>
      <c r="BA454" t="s">
        <v>180</v>
      </c>
      <c r="BB454">
        <v>15</v>
      </c>
      <c r="BC454">
        <v>25</v>
      </c>
      <c r="BE454" t="s">
        <v>139</v>
      </c>
      <c r="BG454">
        <v>0.1</v>
      </c>
      <c r="BP454">
        <v>12</v>
      </c>
      <c r="BS454" t="s">
        <v>1124</v>
      </c>
      <c r="BU454" t="s">
        <v>1127</v>
      </c>
      <c r="BV454">
        <v>39.021430000000002</v>
      </c>
      <c r="BW454">
        <v>0.63561699999999999</v>
      </c>
      <c r="BX454">
        <v>20</v>
      </c>
      <c r="BY454">
        <v>40.214289999999998</v>
      </c>
      <c r="BZ454">
        <v>0.37485109999999999</v>
      </c>
      <c r="CA454">
        <v>20</v>
      </c>
      <c r="CB454" t="s">
        <v>113</v>
      </c>
      <c r="CC454" t="s">
        <v>1126</v>
      </c>
    </row>
    <row r="455" spans="1:81" x14ac:dyDescent="0.25">
      <c r="A455" t="s">
        <v>81</v>
      </c>
      <c r="B455">
        <v>454</v>
      </c>
      <c r="C455">
        <v>97</v>
      </c>
      <c r="D455">
        <v>85</v>
      </c>
      <c r="E455">
        <v>97</v>
      </c>
      <c r="F455">
        <v>98</v>
      </c>
      <c r="G455">
        <v>254</v>
      </c>
      <c r="H455">
        <v>351</v>
      </c>
      <c r="J455" t="s">
        <v>338</v>
      </c>
      <c r="L455" t="s">
        <v>1119</v>
      </c>
      <c r="M455" t="s">
        <v>85</v>
      </c>
      <c r="O455" t="s">
        <v>14</v>
      </c>
      <c r="P455" t="s">
        <v>1120</v>
      </c>
      <c r="Q455" t="s">
        <v>1121</v>
      </c>
      <c r="R455">
        <v>2016</v>
      </c>
      <c r="S455" t="s">
        <v>158</v>
      </c>
      <c r="U455" t="s">
        <v>1122</v>
      </c>
      <c r="V455" t="s">
        <v>1123</v>
      </c>
      <c r="W455" t="s">
        <v>170</v>
      </c>
      <c r="X455" t="s">
        <v>171</v>
      </c>
      <c r="Y455" t="s">
        <v>1006</v>
      </c>
      <c r="Z455" t="s">
        <v>1007</v>
      </c>
      <c r="AA455" t="s">
        <v>1008</v>
      </c>
      <c r="AB455" t="s">
        <v>1009</v>
      </c>
      <c r="AC455" t="s">
        <v>1010</v>
      </c>
      <c r="AD455" t="s">
        <v>98</v>
      </c>
      <c r="AE455" t="s">
        <v>177</v>
      </c>
      <c r="AF455" t="s">
        <v>100</v>
      </c>
      <c r="AG455" t="s">
        <v>261</v>
      </c>
      <c r="AH455" t="s">
        <v>262</v>
      </c>
      <c r="AI455" t="s">
        <v>103</v>
      </c>
      <c r="AJ455" t="s">
        <v>104</v>
      </c>
      <c r="AK455">
        <f>12/24</f>
        <v>0.5</v>
      </c>
      <c r="AL455">
        <v>15</v>
      </c>
      <c r="AM455" t="s">
        <v>263</v>
      </c>
      <c r="AN455" t="s">
        <v>106</v>
      </c>
      <c r="AO455">
        <v>55.945127777800003</v>
      </c>
      <c r="AP455">
        <v>10.2125861111</v>
      </c>
      <c r="AQ455">
        <v>18</v>
      </c>
      <c r="AR455" t="s">
        <v>179</v>
      </c>
      <c r="AS455">
        <v>2010</v>
      </c>
      <c r="AV455">
        <f>12/24</f>
        <v>0.5</v>
      </c>
      <c r="AW455" t="s">
        <v>269</v>
      </c>
      <c r="AX455">
        <v>20</v>
      </c>
      <c r="AY455" t="s">
        <v>134</v>
      </c>
      <c r="AZ455" t="s">
        <v>109</v>
      </c>
      <c r="BA455" t="s">
        <v>180</v>
      </c>
      <c r="BB455">
        <v>15</v>
      </c>
      <c r="BC455">
        <v>25</v>
      </c>
      <c r="BE455" t="s">
        <v>139</v>
      </c>
      <c r="BG455">
        <v>0.1</v>
      </c>
      <c r="BP455">
        <v>12</v>
      </c>
      <c r="BS455" t="s">
        <v>1124</v>
      </c>
      <c r="BU455" t="s">
        <v>1128</v>
      </c>
      <c r="BV455">
        <v>38.821429999999999</v>
      </c>
      <c r="BW455">
        <v>0.68451059999999997</v>
      </c>
      <c r="BX455">
        <v>20</v>
      </c>
      <c r="BY455">
        <v>40.157139999999998</v>
      </c>
      <c r="BZ455">
        <v>0.37485109999999999</v>
      </c>
      <c r="CA455">
        <v>20</v>
      </c>
      <c r="CB455" t="s">
        <v>113</v>
      </c>
      <c r="CC455" t="s">
        <v>1126</v>
      </c>
    </row>
    <row r="456" spans="1:81" x14ac:dyDescent="0.25">
      <c r="A456" t="s">
        <v>81</v>
      </c>
      <c r="B456">
        <v>455</v>
      </c>
      <c r="C456">
        <v>97</v>
      </c>
      <c r="D456">
        <v>85</v>
      </c>
      <c r="E456">
        <v>97</v>
      </c>
      <c r="F456">
        <v>98</v>
      </c>
      <c r="G456">
        <v>255</v>
      </c>
      <c r="H456">
        <v>352</v>
      </c>
      <c r="J456" t="s">
        <v>338</v>
      </c>
      <c r="L456" t="s">
        <v>1119</v>
      </c>
      <c r="M456" t="s">
        <v>85</v>
      </c>
      <c r="O456" t="s">
        <v>14</v>
      </c>
      <c r="P456" t="s">
        <v>1120</v>
      </c>
      <c r="Q456" t="s">
        <v>1121</v>
      </c>
      <c r="R456">
        <v>2016</v>
      </c>
      <c r="S456" t="s">
        <v>158</v>
      </c>
      <c r="U456" t="s">
        <v>1122</v>
      </c>
      <c r="V456" t="s">
        <v>1123</v>
      </c>
      <c r="W456" t="s">
        <v>170</v>
      </c>
      <c r="X456" t="s">
        <v>171</v>
      </c>
      <c r="Y456" t="s">
        <v>1006</v>
      </c>
      <c r="Z456" t="s">
        <v>1007</v>
      </c>
      <c r="AA456" t="s">
        <v>1008</v>
      </c>
      <c r="AB456" t="s">
        <v>1009</v>
      </c>
      <c r="AC456" t="s">
        <v>1010</v>
      </c>
      <c r="AD456" t="s">
        <v>98</v>
      </c>
      <c r="AE456" t="s">
        <v>177</v>
      </c>
      <c r="AF456" t="s">
        <v>100</v>
      </c>
      <c r="AG456" t="s">
        <v>261</v>
      </c>
      <c r="AH456" t="s">
        <v>262</v>
      </c>
      <c r="AI456" t="s">
        <v>103</v>
      </c>
      <c r="AJ456" t="s">
        <v>104</v>
      </c>
      <c r="AK456">
        <v>1</v>
      </c>
      <c r="AL456">
        <v>15</v>
      </c>
      <c r="AM456" t="s">
        <v>263</v>
      </c>
      <c r="AN456" t="s">
        <v>106</v>
      </c>
      <c r="AO456">
        <v>55.945127777800003</v>
      </c>
      <c r="AP456">
        <v>10.2125861111</v>
      </c>
      <c r="AQ456">
        <v>18</v>
      </c>
      <c r="AR456" t="s">
        <v>179</v>
      </c>
      <c r="AS456">
        <v>2010</v>
      </c>
      <c r="AV456">
        <v>1</v>
      </c>
      <c r="AW456" t="s">
        <v>269</v>
      </c>
      <c r="AX456">
        <v>20</v>
      </c>
      <c r="AY456" t="s">
        <v>134</v>
      </c>
      <c r="AZ456" t="s">
        <v>109</v>
      </c>
      <c r="BA456" t="s">
        <v>180</v>
      </c>
      <c r="BB456">
        <v>15</v>
      </c>
      <c r="BC456">
        <v>25</v>
      </c>
      <c r="BE456" t="s">
        <v>139</v>
      </c>
      <c r="BG456">
        <v>0.1</v>
      </c>
      <c r="BP456">
        <v>12</v>
      </c>
      <c r="BS456" t="s">
        <v>1124</v>
      </c>
      <c r="BU456" t="s">
        <v>1129</v>
      </c>
      <c r="BV456">
        <v>38.964289999999998</v>
      </c>
      <c r="BW456">
        <v>0.61931910000000001</v>
      </c>
      <c r="BX456">
        <v>20</v>
      </c>
      <c r="BY456">
        <v>39.857140000000001</v>
      </c>
      <c r="BZ456">
        <v>0.22817019999999999</v>
      </c>
      <c r="CA456">
        <v>20</v>
      </c>
      <c r="CB456" t="s">
        <v>113</v>
      </c>
      <c r="CC456" t="s">
        <v>1126</v>
      </c>
    </row>
    <row r="457" spans="1:81" x14ac:dyDescent="0.25">
      <c r="A457" t="s">
        <v>81</v>
      </c>
      <c r="B457">
        <v>456</v>
      </c>
      <c r="C457">
        <v>97</v>
      </c>
      <c r="D457">
        <v>85</v>
      </c>
      <c r="E457">
        <v>97</v>
      </c>
      <c r="F457">
        <v>98</v>
      </c>
      <c r="G457">
        <v>256</v>
      </c>
      <c r="H457">
        <v>353</v>
      </c>
      <c r="J457" t="s">
        <v>338</v>
      </c>
      <c r="L457" t="s">
        <v>1119</v>
      </c>
      <c r="M457" t="s">
        <v>85</v>
      </c>
      <c r="O457" t="s">
        <v>14</v>
      </c>
      <c r="P457" t="s">
        <v>1120</v>
      </c>
      <c r="Q457" t="s">
        <v>1121</v>
      </c>
      <c r="R457">
        <v>2016</v>
      </c>
      <c r="S457" t="s">
        <v>158</v>
      </c>
      <c r="U457" t="s">
        <v>1122</v>
      </c>
      <c r="V457" t="s">
        <v>1123</v>
      </c>
      <c r="W457" t="s">
        <v>170</v>
      </c>
      <c r="X457" t="s">
        <v>171</v>
      </c>
      <c r="Y457" t="s">
        <v>1006</v>
      </c>
      <c r="Z457" t="s">
        <v>1007</v>
      </c>
      <c r="AA457" t="s">
        <v>1008</v>
      </c>
      <c r="AB457" t="s">
        <v>1009</v>
      </c>
      <c r="AC457" t="s">
        <v>1010</v>
      </c>
      <c r="AD457" t="s">
        <v>98</v>
      </c>
      <c r="AE457" t="s">
        <v>177</v>
      </c>
      <c r="AF457" t="s">
        <v>100</v>
      </c>
      <c r="AG457" t="s">
        <v>261</v>
      </c>
      <c r="AH457" t="s">
        <v>262</v>
      </c>
      <c r="AI457" t="s">
        <v>103</v>
      </c>
      <c r="AJ457" t="s">
        <v>104</v>
      </c>
      <c r="AK457">
        <v>2</v>
      </c>
      <c r="AL457">
        <v>15</v>
      </c>
      <c r="AM457" t="s">
        <v>263</v>
      </c>
      <c r="AN457" t="s">
        <v>106</v>
      </c>
      <c r="AO457">
        <v>55.945127777800003</v>
      </c>
      <c r="AP457">
        <v>10.2125861111</v>
      </c>
      <c r="AQ457">
        <v>18</v>
      </c>
      <c r="AR457" t="s">
        <v>179</v>
      </c>
      <c r="AS457">
        <v>2010</v>
      </c>
      <c r="AV457">
        <v>2</v>
      </c>
      <c r="AW457" t="s">
        <v>269</v>
      </c>
      <c r="AX457">
        <v>20</v>
      </c>
      <c r="AY457" t="s">
        <v>134</v>
      </c>
      <c r="AZ457" t="s">
        <v>109</v>
      </c>
      <c r="BA457" t="s">
        <v>180</v>
      </c>
      <c r="BB457">
        <v>15</v>
      </c>
      <c r="BC457">
        <v>25</v>
      </c>
      <c r="BE457" t="s">
        <v>139</v>
      </c>
      <c r="BG457">
        <v>0.1</v>
      </c>
      <c r="BP457">
        <v>12</v>
      </c>
      <c r="BS457" t="s">
        <v>1124</v>
      </c>
      <c r="BU457" t="s">
        <v>1130</v>
      </c>
      <c r="BV457">
        <v>39.171430000000001</v>
      </c>
      <c r="BW457">
        <v>0.66821269999999999</v>
      </c>
      <c r="BX457">
        <v>20</v>
      </c>
      <c r="BY457">
        <v>40.4</v>
      </c>
      <c r="BZ457">
        <v>0.52153190000000005</v>
      </c>
      <c r="CA457">
        <v>20</v>
      </c>
      <c r="CB457" t="s">
        <v>113</v>
      </c>
      <c r="CC457" t="s">
        <v>1126</v>
      </c>
    </row>
    <row r="458" spans="1:81" x14ac:dyDescent="0.25">
      <c r="A458" t="s">
        <v>81</v>
      </c>
      <c r="B458">
        <v>457</v>
      </c>
      <c r="C458">
        <v>97</v>
      </c>
      <c r="D458">
        <v>85</v>
      </c>
      <c r="E458">
        <v>97</v>
      </c>
      <c r="F458">
        <v>98</v>
      </c>
      <c r="G458">
        <v>257</v>
      </c>
      <c r="H458">
        <v>354</v>
      </c>
      <c r="J458" t="s">
        <v>338</v>
      </c>
      <c r="L458" t="s">
        <v>1119</v>
      </c>
      <c r="M458" t="s">
        <v>85</v>
      </c>
      <c r="O458" t="s">
        <v>14</v>
      </c>
      <c r="P458" t="s">
        <v>1120</v>
      </c>
      <c r="Q458" t="s">
        <v>1121</v>
      </c>
      <c r="R458">
        <v>2016</v>
      </c>
      <c r="S458" t="s">
        <v>158</v>
      </c>
      <c r="U458" t="s">
        <v>1122</v>
      </c>
      <c r="V458" t="s">
        <v>1123</v>
      </c>
      <c r="W458" t="s">
        <v>170</v>
      </c>
      <c r="X458" t="s">
        <v>171</v>
      </c>
      <c r="Y458" t="s">
        <v>1006</v>
      </c>
      <c r="Z458" t="s">
        <v>1007</v>
      </c>
      <c r="AA458" t="s">
        <v>1008</v>
      </c>
      <c r="AB458" t="s">
        <v>1009</v>
      </c>
      <c r="AC458" t="s">
        <v>1010</v>
      </c>
      <c r="AD458" t="s">
        <v>98</v>
      </c>
      <c r="AE458" t="s">
        <v>177</v>
      </c>
      <c r="AF458" t="s">
        <v>100</v>
      </c>
      <c r="AG458" t="s">
        <v>261</v>
      </c>
      <c r="AH458" t="s">
        <v>262</v>
      </c>
      <c r="AI458" t="s">
        <v>103</v>
      </c>
      <c r="AJ458" t="s">
        <v>104</v>
      </c>
      <c r="AK458">
        <v>4</v>
      </c>
      <c r="AL458">
        <v>15</v>
      </c>
      <c r="AM458" t="s">
        <v>263</v>
      </c>
      <c r="AN458" t="s">
        <v>106</v>
      </c>
      <c r="AO458">
        <v>55.945127777800003</v>
      </c>
      <c r="AP458">
        <v>10.2125861111</v>
      </c>
      <c r="AQ458">
        <v>18</v>
      </c>
      <c r="AR458" t="s">
        <v>179</v>
      </c>
      <c r="AS458">
        <v>2010</v>
      </c>
      <c r="AV458">
        <v>4</v>
      </c>
      <c r="AW458" t="s">
        <v>269</v>
      </c>
      <c r="AX458">
        <v>20</v>
      </c>
      <c r="AY458" t="s">
        <v>134</v>
      </c>
      <c r="AZ458" t="s">
        <v>109</v>
      </c>
      <c r="BA458" t="s">
        <v>180</v>
      </c>
      <c r="BB458">
        <v>15</v>
      </c>
      <c r="BC458">
        <v>25</v>
      </c>
      <c r="BE458" t="s">
        <v>139</v>
      </c>
      <c r="BG458">
        <v>0.1</v>
      </c>
      <c r="BP458">
        <v>12</v>
      </c>
      <c r="BS458" t="s">
        <v>1124</v>
      </c>
      <c r="BU458" t="s">
        <v>1131</v>
      </c>
      <c r="BV458">
        <v>39.271430000000002</v>
      </c>
      <c r="BW458">
        <v>0.27706380000000003</v>
      </c>
      <c r="BX458">
        <v>20</v>
      </c>
      <c r="BY458">
        <v>40.478569999999998</v>
      </c>
      <c r="BZ458">
        <v>0.24446809999999999</v>
      </c>
      <c r="CA458">
        <v>20</v>
      </c>
      <c r="CB458" t="s">
        <v>113</v>
      </c>
      <c r="CC458" t="s">
        <v>1126</v>
      </c>
    </row>
    <row r="459" spans="1:81" x14ac:dyDescent="0.25">
      <c r="A459" t="s">
        <v>81</v>
      </c>
      <c r="B459">
        <v>458</v>
      </c>
      <c r="C459">
        <v>97</v>
      </c>
      <c r="D459">
        <v>85</v>
      </c>
      <c r="E459">
        <v>97</v>
      </c>
      <c r="F459">
        <v>98</v>
      </c>
      <c r="G459">
        <v>258</v>
      </c>
      <c r="H459">
        <v>355</v>
      </c>
      <c r="J459" t="s">
        <v>338</v>
      </c>
      <c r="L459" t="s">
        <v>1119</v>
      </c>
      <c r="M459" t="s">
        <v>85</v>
      </c>
      <c r="O459" t="s">
        <v>14</v>
      </c>
      <c r="P459" t="s">
        <v>1120</v>
      </c>
      <c r="Q459" t="s">
        <v>1121</v>
      </c>
      <c r="R459">
        <v>2016</v>
      </c>
      <c r="S459" t="s">
        <v>158</v>
      </c>
      <c r="U459" t="s">
        <v>1122</v>
      </c>
      <c r="V459" t="s">
        <v>1123</v>
      </c>
      <c r="W459" t="s">
        <v>170</v>
      </c>
      <c r="X459" t="s">
        <v>171</v>
      </c>
      <c r="Y459" t="s">
        <v>1006</v>
      </c>
      <c r="Z459" t="s">
        <v>1007</v>
      </c>
      <c r="AA459" t="s">
        <v>1008</v>
      </c>
      <c r="AB459" t="s">
        <v>1009</v>
      </c>
      <c r="AC459" t="s">
        <v>1010</v>
      </c>
      <c r="AD459" t="s">
        <v>98</v>
      </c>
      <c r="AE459" t="s">
        <v>177</v>
      </c>
      <c r="AF459" t="s">
        <v>100</v>
      </c>
      <c r="AG459" t="s">
        <v>261</v>
      </c>
      <c r="AH459" t="s">
        <v>262</v>
      </c>
      <c r="AI459" t="s">
        <v>103</v>
      </c>
      <c r="AJ459" t="s">
        <v>104</v>
      </c>
      <c r="AK459">
        <v>6</v>
      </c>
      <c r="AL459">
        <v>15</v>
      </c>
      <c r="AM459" t="s">
        <v>263</v>
      </c>
      <c r="AN459" t="s">
        <v>106</v>
      </c>
      <c r="AO459">
        <v>55.945127777800003</v>
      </c>
      <c r="AP459">
        <v>10.2125861111</v>
      </c>
      <c r="AQ459">
        <v>18</v>
      </c>
      <c r="AR459" t="s">
        <v>179</v>
      </c>
      <c r="AS459">
        <v>2010</v>
      </c>
      <c r="AV459">
        <v>6</v>
      </c>
      <c r="AW459" t="s">
        <v>269</v>
      </c>
      <c r="AX459">
        <v>20</v>
      </c>
      <c r="AY459" t="s">
        <v>134</v>
      </c>
      <c r="AZ459" t="s">
        <v>109</v>
      </c>
      <c r="BA459" t="s">
        <v>180</v>
      </c>
      <c r="BB459">
        <v>15</v>
      </c>
      <c r="BC459">
        <v>25</v>
      </c>
      <c r="BE459" t="s">
        <v>139</v>
      </c>
      <c r="BG459">
        <v>0.1</v>
      </c>
      <c r="BP459">
        <v>12</v>
      </c>
      <c r="BS459" t="s">
        <v>1124</v>
      </c>
      <c r="BU459" t="s">
        <v>1132</v>
      </c>
      <c r="BV459">
        <v>39.292859999999997</v>
      </c>
      <c r="BW459">
        <v>0.78229780000000004</v>
      </c>
      <c r="BX459">
        <v>20</v>
      </c>
      <c r="BY459">
        <v>40.549999999999997</v>
      </c>
      <c r="BZ459">
        <v>0.34225529999999998</v>
      </c>
      <c r="CA459">
        <v>20</v>
      </c>
      <c r="CB459" t="s">
        <v>113</v>
      </c>
      <c r="CC459" t="s">
        <v>1126</v>
      </c>
    </row>
    <row r="460" spans="1:81" x14ac:dyDescent="0.25">
      <c r="A460" t="s">
        <v>81</v>
      </c>
      <c r="B460">
        <v>459</v>
      </c>
      <c r="C460">
        <v>97</v>
      </c>
      <c r="D460">
        <v>85</v>
      </c>
      <c r="E460">
        <v>97</v>
      </c>
      <c r="F460">
        <v>98</v>
      </c>
      <c r="G460">
        <v>259</v>
      </c>
      <c r="H460">
        <v>356</v>
      </c>
      <c r="J460" t="s">
        <v>338</v>
      </c>
      <c r="L460" t="s">
        <v>1119</v>
      </c>
      <c r="M460" t="s">
        <v>85</v>
      </c>
      <c r="O460" t="s">
        <v>14</v>
      </c>
      <c r="P460" t="s">
        <v>1120</v>
      </c>
      <c r="Q460" t="s">
        <v>1121</v>
      </c>
      <c r="R460">
        <v>2016</v>
      </c>
      <c r="S460" t="s">
        <v>158</v>
      </c>
      <c r="U460" t="s">
        <v>1122</v>
      </c>
      <c r="V460" t="s">
        <v>1123</v>
      </c>
      <c r="W460" t="s">
        <v>170</v>
      </c>
      <c r="X460" t="s">
        <v>171</v>
      </c>
      <c r="Y460" t="s">
        <v>1006</v>
      </c>
      <c r="Z460" t="s">
        <v>1007</v>
      </c>
      <c r="AA460" t="s">
        <v>1008</v>
      </c>
      <c r="AB460" t="s">
        <v>1009</v>
      </c>
      <c r="AC460" t="s">
        <v>1010</v>
      </c>
      <c r="AD460" t="s">
        <v>98</v>
      </c>
      <c r="AE460" t="s">
        <v>177</v>
      </c>
      <c r="AF460" t="s">
        <v>100</v>
      </c>
      <c r="AG460" t="s">
        <v>261</v>
      </c>
      <c r="AH460" t="s">
        <v>262</v>
      </c>
      <c r="AI460" t="s">
        <v>103</v>
      </c>
      <c r="AJ460" t="s">
        <v>104</v>
      </c>
      <c r="AK460">
        <v>8</v>
      </c>
      <c r="AL460">
        <v>15</v>
      </c>
      <c r="AM460" t="s">
        <v>263</v>
      </c>
      <c r="AN460" t="s">
        <v>106</v>
      </c>
      <c r="AO460">
        <v>55.945127777800003</v>
      </c>
      <c r="AP460">
        <v>10.2125861111</v>
      </c>
      <c r="AQ460">
        <v>18</v>
      </c>
      <c r="AR460" t="s">
        <v>179</v>
      </c>
      <c r="AS460">
        <v>2010</v>
      </c>
      <c r="AV460">
        <v>8</v>
      </c>
      <c r="AW460" t="s">
        <v>269</v>
      </c>
      <c r="AX460">
        <v>20</v>
      </c>
      <c r="AY460" t="s">
        <v>134</v>
      </c>
      <c r="AZ460" t="s">
        <v>109</v>
      </c>
      <c r="BA460" t="s">
        <v>180</v>
      </c>
      <c r="BB460">
        <v>15</v>
      </c>
      <c r="BC460">
        <v>25</v>
      </c>
      <c r="BE460" t="s">
        <v>139</v>
      </c>
      <c r="BG460">
        <v>0.1</v>
      </c>
      <c r="BP460">
        <v>12</v>
      </c>
      <c r="BS460" t="s">
        <v>1124</v>
      </c>
      <c r="BU460" t="s">
        <v>1133</v>
      </c>
      <c r="BV460">
        <v>39.200000000000003</v>
      </c>
      <c r="BW460">
        <v>0.39114890000000002</v>
      </c>
      <c r="BX460">
        <v>20</v>
      </c>
      <c r="BY460">
        <v>40.25714</v>
      </c>
      <c r="BZ460">
        <v>0.35855320000000002</v>
      </c>
      <c r="CA460">
        <v>20</v>
      </c>
      <c r="CB460" t="s">
        <v>113</v>
      </c>
      <c r="CC460" t="s">
        <v>1126</v>
      </c>
    </row>
    <row r="461" spans="1:81" x14ac:dyDescent="0.25">
      <c r="A461" t="s">
        <v>81</v>
      </c>
      <c r="B461">
        <v>460</v>
      </c>
      <c r="C461">
        <v>97</v>
      </c>
      <c r="D461">
        <v>85</v>
      </c>
      <c r="E461">
        <v>97</v>
      </c>
      <c r="F461">
        <v>98</v>
      </c>
      <c r="G461">
        <v>260</v>
      </c>
      <c r="H461">
        <v>357</v>
      </c>
      <c r="J461" t="s">
        <v>338</v>
      </c>
      <c r="L461" t="s">
        <v>1119</v>
      </c>
      <c r="M461" t="s">
        <v>85</v>
      </c>
      <c r="O461" t="s">
        <v>14</v>
      </c>
      <c r="P461" t="s">
        <v>1120</v>
      </c>
      <c r="Q461" t="s">
        <v>1121</v>
      </c>
      <c r="R461">
        <v>2016</v>
      </c>
      <c r="S461" t="s">
        <v>158</v>
      </c>
      <c r="U461" t="s">
        <v>1122</v>
      </c>
      <c r="V461" t="s">
        <v>1123</v>
      </c>
      <c r="W461" t="s">
        <v>170</v>
      </c>
      <c r="X461" t="s">
        <v>171</v>
      </c>
      <c r="Y461" t="s">
        <v>1006</v>
      </c>
      <c r="Z461" t="s">
        <v>1007</v>
      </c>
      <c r="AA461" t="s">
        <v>1008</v>
      </c>
      <c r="AB461" t="s">
        <v>1009</v>
      </c>
      <c r="AC461" t="s">
        <v>1010</v>
      </c>
      <c r="AD461" t="s">
        <v>98</v>
      </c>
      <c r="AE461" t="s">
        <v>177</v>
      </c>
      <c r="AF461" t="s">
        <v>100</v>
      </c>
      <c r="AG461" t="s">
        <v>261</v>
      </c>
      <c r="AH461" t="s">
        <v>262</v>
      </c>
      <c r="AI461" t="s">
        <v>103</v>
      </c>
      <c r="AJ461" t="s">
        <v>104</v>
      </c>
      <c r="AK461">
        <v>10</v>
      </c>
      <c r="AL461">
        <v>15</v>
      </c>
      <c r="AM461" t="s">
        <v>263</v>
      </c>
      <c r="AN461" t="s">
        <v>106</v>
      </c>
      <c r="AO461">
        <v>55.945127777800003</v>
      </c>
      <c r="AP461">
        <v>10.2125861111</v>
      </c>
      <c r="AQ461">
        <v>18</v>
      </c>
      <c r="AR461" t="s">
        <v>179</v>
      </c>
      <c r="AS461">
        <v>2010</v>
      </c>
      <c r="AV461">
        <v>10</v>
      </c>
      <c r="AW461" t="s">
        <v>269</v>
      </c>
      <c r="AX461">
        <v>20</v>
      </c>
      <c r="AY461" t="s">
        <v>134</v>
      </c>
      <c r="AZ461" t="s">
        <v>109</v>
      </c>
      <c r="BA461" t="s">
        <v>180</v>
      </c>
      <c r="BB461">
        <v>15</v>
      </c>
      <c r="BC461">
        <v>25</v>
      </c>
      <c r="BE461" t="s">
        <v>139</v>
      </c>
      <c r="BG461">
        <v>0.1</v>
      </c>
      <c r="BP461">
        <v>12</v>
      </c>
      <c r="BS461" t="s">
        <v>1124</v>
      </c>
      <c r="BU461" t="s">
        <v>1134</v>
      </c>
      <c r="BV461">
        <v>39.371429999999997</v>
      </c>
      <c r="BW461">
        <v>1.0267659</v>
      </c>
      <c r="BX461">
        <v>20</v>
      </c>
      <c r="BY461">
        <v>40.06429</v>
      </c>
      <c r="BZ461">
        <v>0.35855320000000002</v>
      </c>
      <c r="CA461">
        <v>20</v>
      </c>
      <c r="CB461" t="s">
        <v>113</v>
      </c>
      <c r="CC461" t="s">
        <v>1126</v>
      </c>
    </row>
    <row r="462" spans="1:81" x14ac:dyDescent="0.25">
      <c r="A462" t="s">
        <v>81</v>
      </c>
      <c r="B462">
        <v>461</v>
      </c>
      <c r="C462">
        <v>97</v>
      </c>
      <c r="D462">
        <v>85</v>
      </c>
      <c r="E462">
        <v>97</v>
      </c>
      <c r="F462">
        <v>98</v>
      </c>
      <c r="G462">
        <v>261</v>
      </c>
      <c r="H462">
        <v>358</v>
      </c>
      <c r="J462" t="s">
        <v>338</v>
      </c>
      <c r="L462" t="s">
        <v>1119</v>
      </c>
      <c r="M462" t="s">
        <v>85</v>
      </c>
      <c r="O462" t="s">
        <v>14</v>
      </c>
      <c r="P462" t="s">
        <v>1120</v>
      </c>
      <c r="Q462" t="s">
        <v>1121</v>
      </c>
      <c r="R462">
        <v>2016</v>
      </c>
      <c r="S462" t="s">
        <v>158</v>
      </c>
      <c r="U462" t="s">
        <v>1122</v>
      </c>
      <c r="V462" t="s">
        <v>1123</v>
      </c>
      <c r="W462" t="s">
        <v>170</v>
      </c>
      <c r="X462" t="s">
        <v>171</v>
      </c>
      <c r="Y462" t="s">
        <v>1006</v>
      </c>
      <c r="Z462" t="s">
        <v>1007</v>
      </c>
      <c r="AA462" t="s">
        <v>1008</v>
      </c>
      <c r="AB462" t="s">
        <v>1009</v>
      </c>
      <c r="AC462" t="s">
        <v>1010</v>
      </c>
      <c r="AD462" t="s">
        <v>98</v>
      </c>
      <c r="AE462" t="s">
        <v>177</v>
      </c>
      <c r="AF462" t="s">
        <v>100</v>
      </c>
      <c r="AG462" t="s">
        <v>261</v>
      </c>
      <c r="AH462" t="s">
        <v>262</v>
      </c>
      <c r="AI462" t="s">
        <v>103</v>
      </c>
      <c r="AJ462" t="s">
        <v>104</v>
      </c>
      <c r="AK462">
        <v>12</v>
      </c>
      <c r="AL462">
        <v>15</v>
      </c>
      <c r="AM462" t="s">
        <v>263</v>
      </c>
      <c r="AN462" t="s">
        <v>106</v>
      </c>
      <c r="AO462">
        <v>55.945127777800003</v>
      </c>
      <c r="AP462">
        <v>10.2125861111</v>
      </c>
      <c r="AQ462">
        <v>18</v>
      </c>
      <c r="AR462" t="s">
        <v>179</v>
      </c>
      <c r="AS462">
        <v>2010</v>
      </c>
      <c r="AV462">
        <v>12</v>
      </c>
      <c r="AW462" t="s">
        <v>269</v>
      </c>
      <c r="AX462">
        <v>20</v>
      </c>
      <c r="AY462" t="s">
        <v>134</v>
      </c>
      <c r="AZ462" t="s">
        <v>109</v>
      </c>
      <c r="BA462" t="s">
        <v>180</v>
      </c>
      <c r="BB462">
        <v>15</v>
      </c>
      <c r="BC462">
        <v>25</v>
      </c>
      <c r="BE462" t="s">
        <v>139</v>
      </c>
      <c r="BG462">
        <v>0.1</v>
      </c>
      <c r="BP462">
        <v>12</v>
      </c>
      <c r="BS462" t="s">
        <v>1124</v>
      </c>
      <c r="BU462" t="s">
        <v>1135</v>
      </c>
      <c r="BV462">
        <v>39.028570000000002</v>
      </c>
      <c r="BW462">
        <v>0.47263830000000001</v>
      </c>
      <c r="BX462">
        <v>20</v>
      </c>
      <c r="BY462">
        <v>39.985709999999997</v>
      </c>
      <c r="BZ462">
        <v>0.30965959999999998</v>
      </c>
      <c r="CA462">
        <v>20</v>
      </c>
      <c r="CB462" t="s">
        <v>113</v>
      </c>
      <c r="CC462" t="s">
        <v>1126</v>
      </c>
    </row>
    <row r="463" spans="1:81" x14ac:dyDescent="0.25">
      <c r="A463" t="s">
        <v>81</v>
      </c>
      <c r="B463">
        <v>462</v>
      </c>
      <c r="C463">
        <v>97</v>
      </c>
      <c r="D463">
        <v>85</v>
      </c>
      <c r="E463">
        <v>97</v>
      </c>
      <c r="F463">
        <v>98</v>
      </c>
      <c r="G463">
        <v>262</v>
      </c>
      <c r="H463">
        <v>359</v>
      </c>
      <c r="J463" t="s">
        <v>338</v>
      </c>
      <c r="L463" t="s">
        <v>1119</v>
      </c>
      <c r="M463" t="s">
        <v>85</v>
      </c>
      <c r="O463" t="s">
        <v>14</v>
      </c>
      <c r="P463" t="s">
        <v>1120</v>
      </c>
      <c r="Q463" t="s">
        <v>1121</v>
      </c>
      <c r="R463">
        <v>2016</v>
      </c>
      <c r="S463" t="s">
        <v>158</v>
      </c>
      <c r="U463" t="s">
        <v>1122</v>
      </c>
      <c r="V463" t="s">
        <v>1123</v>
      </c>
      <c r="W463" t="s">
        <v>170</v>
      </c>
      <c r="X463" t="s">
        <v>171</v>
      </c>
      <c r="Y463" t="s">
        <v>1006</v>
      </c>
      <c r="Z463" t="s">
        <v>1007</v>
      </c>
      <c r="AA463" t="s">
        <v>1008</v>
      </c>
      <c r="AB463" t="s">
        <v>1009</v>
      </c>
      <c r="AC463" t="s">
        <v>1010</v>
      </c>
      <c r="AD463" t="s">
        <v>98</v>
      </c>
      <c r="AE463" t="s">
        <v>177</v>
      </c>
      <c r="AF463" t="s">
        <v>100</v>
      </c>
      <c r="AG463" t="s">
        <v>261</v>
      </c>
      <c r="AH463" t="s">
        <v>262</v>
      </c>
      <c r="AI463" t="s">
        <v>103</v>
      </c>
      <c r="AJ463" t="s">
        <v>104</v>
      </c>
      <c r="AK463">
        <v>14</v>
      </c>
      <c r="AL463">
        <v>15</v>
      </c>
      <c r="AM463" t="s">
        <v>263</v>
      </c>
      <c r="AN463" t="s">
        <v>106</v>
      </c>
      <c r="AO463">
        <v>55.945127777800003</v>
      </c>
      <c r="AP463">
        <v>10.2125861111</v>
      </c>
      <c r="AQ463">
        <v>18</v>
      </c>
      <c r="AR463" t="s">
        <v>179</v>
      </c>
      <c r="AS463">
        <v>2010</v>
      </c>
      <c r="AV463">
        <v>14</v>
      </c>
      <c r="AW463" t="s">
        <v>269</v>
      </c>
      <c r="AX463">
        <v>20</v>
      </c>
      <c r="AY463" t="s">
        <v>134</v>
      </c>
      <c r="AZ463" t="s">
        <v>109</v>
      </c>
      <c r="BA463" t="s">
        <v>180</v>
      </c>
      <c r="BB463">
        <v>15</v>
      </c>
      <c r="BC463">
        <v>25</v>
      </c>
      <c r="BE463" t="s">
        <v>139</v>
      </c>
      <c r="BG463">
        <v>0.1</v>
      </c>
      <c r="BP463">
        <v>12</v>
      </c>
      <c r="BS463" t="s">
        <v>1124</v>
      </c>
      <c r="BU463" t="s">
        <v>1136</v>
      </c>
      <c r="BV463">
        <v>39.042859999999997</v>
      </c>
      <c r="BW463">
        <v>0.60302129999999998</v>
      </c>
      <c r="BX463">
        <v>20</v>
      </c>
      <c r="BY463">
        <v>40.207140000000003</v>
      </c>
      <c r="BZ463">
        <v>0.35855320000000002</v>
      </c>
      <c r="CA463">
        <v>20</v>
      </c>
      <c r="CB463" t="s">
        <v>113</v>
      </c>
      <c r="CC463" t="s">
        <v>1126</v>
      </c>
    </row>
    <row r="464" spans="1:81" x14ac:dyDescent="0.25">
      <c r="A464" t="s">
        <v>81</v>
      </c>
      <c r="B464">
        <v>463</v>
      </c>
      <c r="C464">
        <v>97</v>
      </c>
      <c r="D464">
        <v>85</v>
      </c>
      <c r="E464">
        <v>97</v>
      </c>
      <c r="F464">
        <v>98</v>
      </c>
      <c r="G464">
        <v>263</v>
      </c>
      <c r="H464">
        <v>360</v>
      </c>
      <c r="J464" t="s">
        <v>338</v>
      </c>
      <c r="L464" t="s">
        <v>1119</v>
      </c>
      <c r="M464" t="s">
        <v>85</v>
      </c>
      <c r="O464" t="s">
        <v>14</v>
      </c>
      <c r="P464" t="s">
        <v>1120</v>
      </c>
      <c r="Q464" t="s">
        <v>1121</v>
      </c>
      <c r="R464">
        <v>2016</v>
      </c>
      <c r="S464" t="s">
        <v>158</v>
      </c>
      <c r="U464" t="s">
        <v>1122</v>
      </c>
      <c r="V464" t="s">
        <v>1123</v>
      </c>
      <c r="W464" t="s">
        <v>170</v>
      </c>
      <c r="X464" t="s">
        <v>171</v>
      </c>
      <c r="Y464" t="s">
        <v>1006</v>
      </c>
      <c r="Z464" t="s">
        <v>1007</v>
      </c>
      <c r="AA464" t="s">
        <v>1008</v>
      </c>
      <c r="AB464" t="s">
        <v>1009</v>
      </c>
      <c r="AC464" t="s">
        <v>1010</v>
      </c>
      <c r="AD464" t="s">
        <v>98</v>
      </c>
      <c r="AE464" t="s">
        <v>177</v>
      </c>
      <c r="AF464" t="s">
        <v>100</v>
      </c>
      <c r="AG464" t="s">
        <v>261</v>
      </c>
      <c r="AH464" t="s">
        <v>262</v>
      </c>
      <c r="AI464" t="s">
        <v>103</v>
      </c>
      <c r="AJ464" t="s">
        <v>104</v>
      </c>
      <c r="AK464">
        <v>16</v>
      </c>
      <c r="AL464">
        <v>15</v>
      </c>
      <c r="AM464" t="s">
        <v>263</v>
      </c>
      <c r="AN464" t="s">
        <v>106</v>
      </c>
      <c r="AO464">
        <v>55.945127777800003</v>
      </c>
      <c r="AP464">
        <v>10.2125861111</v>
      </c>
      <c r="AQ464">
        <v>18</v>
      </c>
      <c r="AR464" t="s">
        <v>179</v>
      </c>
      <c r="AS464">
        <v>2010</v>
      </c>
      <c r="AV464">
        <v>16</v>
      </c>
      <c r="AW464" t="s">
        <v>269</v>
      </c>
      <c r="AX464">
        <v>20</v>
      </c>
      <c r="AY464" t="s">
        <v>134</v>
      </c>
      <c r="AZ464" t="s">
        <v>109</v>
      </c>
      <c r="BA464" t="s">
        <v>180</v>
      </c>
      <c r="BB464">
        <v>15</v>
      </c>
      <c r="BC464">
        <v>25</v>
      </c>
      <c r="BE464" t="s">
        <v>139</v>
      </c>
      <c r="BG464">
        <v>0.1</v>
      </c>
      <c r="BP464">
        <v>12</v>
      </c>
      <c r="BS464" t="s">
        <v>1124</v>
      </c>
      <c r="BU464" t="s">
        <v>1137</v>
      </c>
      <c r="BV464">
        <v>39.15</v>
      </c>
      <c r="BW464">
        <v>0.9941702</v>
      </c>
      <c r="BX464">
        <v>20</v>
      </c>
      <c r="BY464">
        <v>40.18571</v>
      </c>
      <c r="BZ464">
        <v>0.60302129999999998</v>
      </c>
      <c r="CA464">
        <v>20</v>
      </c>
      <c r="CB464" t="s">
        <v>113</v>
      </c>
      <c r="CC464" t="s">
        <v>1126</v>
      </c>
    </row>
    <row r="465" spans="1:81" x14ac:dyDescent="0.25">
      <c r="A465" t="s">
        <v>81</v>
      </c>
      <c r="B465">
        <v>464</v>
      </c>
      <c r="C465">
        <v>97</v>
      </c>
      <c r="D465">
        <v>85</v>
      </c>
      <c r="E465">
        <v>97</v>
      </c>
      <c r="F465">
        <v>98</v>
      </c>
      <c r="G465">
        <v>264</v>
      </c>
      <c r="H465">
        <v>361</v>
      </c>
      <c r="J465" t="s">
        <v>338</v>
      </c>
      <c r="L465" t="s">
        <v>1119</v>
      </c>
      <c r="M465" t="s">
        <v>85</v>
      </c>
      <c r="O465" t="s">
        <v>14</v>
      </c>
      <c r="P465" t="s">
        <v>1120</v>
      </c>
      <c r="Q465" t="s">
        <v>1121</v>
      </c>
      <c r="R465">
        <v>2016</v>
      </c>
      <c r="S465" t="s">
        <v>158</v>
      </c>
      <c r="U465" t="s">
        <v>1122</v>
      </c>
      <c r="V465" t="s">
        <v>1123</v>
      </c>
      <c r="W465" t="s">
        <v>170</v>
      </c>
      <c r="X465" t="s">
        <v>171</v>
      </c>
      <c r="Y465" t="s">
        <v>1006</v>
      </c>
      <c r="Z465" t="s">
        <v>1007</v>
      </c>
      <c r="AA465" t="s">
        <v>1008</v>
      </c>
      <c r="AB465" t="s">
        <v>1009</v>
      </c>
      <c r="AC465" t="s">
        <v>1010</v>
      </c>
      <c r="AD465" t="s">
        <v>98</v>
      </c>
      <c r="AE465" t="s">
        <v>177</v>
      </c>
      <c r="AF465" t="s">
        <v>100</v>
      </c>
      <c r="AG465" t="s">
        <v>261</v>
      </c>
      <c r="AH465" t="s">
        <v>262</v>
      </c>
      <c r="AI465" t="s">
        <v>103</v>
      </c>
      <c r="AJ465" t="s">
        <v>104</v>
      </c>
      <c r="AK465">
        <v>18</v>
      </c>
      <c r="AL465">
        <v>15</v>
      </c>
      <c r="AM465" t="s">
        <v>263</v>
      </c>
      <c r="AN465" t="s">
        <v>106</v>
      </c>
      <c r="AO465">
        <v>55.945127777800003</v>
      </c>
      <c r="AP465">
        <v>10.2125861111</v>
      </c>
      <c r="AQ465">
        <v>18</v>
      </c>
      <c r="AR465" t="s">
        <v>179</v>
      </c>
      <c r="AS465">
        <v>2010</v>
      </c>
      <c r="AV465">
        <v>18</v>
      </c>
      <c r="AW465" t="s">
        <v>269</v>
      </c>
      <c r="AX465">
        <v>20</v>
      </c>
      <c r="AY465" t="s">
        <v>134</v>
      </c>
      <c r="AZ465" t="s">
        <v>109</v>
      </c>
      <c r="BA465" t="s">
        <v>180</v>
      </c>
      <c r="BB465">
        <v>15</v>
      </c>
      <c r="BC465">
        <v>25</v>
      </c>
      <c r="BE465" t="s">
        <v>139</v>
      </c>
      <c r="BG465">
        <v>0.1</v>
      </c>
      <c r="BP465">
        <v>12</v>
      </c>
      <c r="BS465" t="s">
        <v>1124</v>
      </c>
      <c r="BU465" t="s">
        <v>1138</v>
      </c>
      <c r="BV465">
        <v>39.135710000000003</v>
      </c>
      <c r="BW465">
        <v>1.0593617</v>
      </c>
      <c r="BX465">
        <v>20</v>
      </c>
      <c r="BY465">
        <v>40.049999999999997</v>
      </c>
      <c r="BZ465">
        <v>0.4400425</v>
      </c>
      <c r="CA465">
        <v>20</v>
      </c>
      <c r="CB465" t="s">
        <v>113</v>
      </c>
      <c r="CC465" t="s">
        <v>1126</v>
      </c>
    </row>
    <row r="466" spans="1:81" x14ac:dyDescent="0.25">
      <c r="A466" t="s">
        <v>81</v>
      </c>
      <c r="B466">
        <v>465</v>
      </c>
      <c r="C466">
        <v>97</v>
      </c>
      <c r="D466">
        <v>85</v>
      </c>
      <c r="E466">
        <v>97</v>
      </c>
      <c r="F466">
        <v>98</v>
      </c>
      <c r="G466">
        <v>265</v>
      </c>
      <c r="H466">
        <v>362</v>
      </c>
      <c r="J466" t="s">
        <v>338</v>
      </c>
      <c r="L466" t="s">
        <v>1119</v>
      </c>
      <c r="M466" t="s">
        <v>85</v>
      </c>
      <c r="O466" t="s">
        <v>14</v>
      </c>
      <c r="P466" t="s">
        <v>1120</v>
      </c>
      <c r="Q466" t="s">
        <v>1121</v>
      </c>
      <c r="R466">
        <v>2016</v>
      </c>
      <c r="S466" t="s">
        <v>158</v>
      </c>
      <c r="U466" t="s">
        <v>1122</v>
      </c>
      <c r="V466" t="s">
        <v>1123</v>
      </c>
      <c r="W466" t="s">
        <v>170</v>
      </c>
      <c r="X466" t="s">
        <v>171</v>
      </c>
      <c r="Y466" t="s">
        <v>1006</v>
      </c>
      <c r="Z466" t="s">
        <v>1007</v>
      </c>
      <c r="AA466" t="s">
        <v>1008</v>
      </c>
      <c r="AB466" t="s">
        <v>1009</v>
      </c>
      <c r="AC466" t="s">
        <v>1010</v>
      </c>
      <c r="AD466" t="s">
        <v>98</v>
      </c>
      <c r="AE466" t="s">
        <v>177</v>
      </c>
      <c r="AF466" t="s">
        <v>100</v>
      </c>
      <c r="AG466" t="s">
        <v>261</v>
      </c>
      <c r="AH466" t="s">
        <v>262</v>
      </c>
      <c r="AI466" t="s">
        <v>103</v>
      </c>
      <c r="AJ466" t="s">
        <v>104</v>
      </c>
      <c r="AK466">
        <v>20</v>
      </c>
      <c r="AL466">
        <v>15</v>
      </c>
      <c r="AM466" t="s">
        <v>263</v>
      </c>
      <c r="AN466" t="s">
        <v>106</v>
      </c>
      <c r="AO466">
        <v>55.945127777800003</v>
      </c>
      <c r="AP466">
        <v>10.2125861111</v>
      </c>
      <c r="AQ466">
        <v>18</v>
      </c>
      <c r="AR466" t="s">
        <v>179</v>
      </c>
      <c r="AS466">
        <v>2010</v>
      </c>
      <c r="AV466">
        <v>20</v>
      </c>
      <c r="AW466" t="s">
        <v>269</v>
      </c>
      <c r="AX466">
        <v>20</v>
      </c>
      <c r="AY466" t="s">
        <v>134</v>
      </c>
      <c r="AZ466" t="s">
        <v>109</v>
      </c>
      <c r="BA466" t="s">
        <v>180</v>
      </c>
      <c r="BB466">
        <v>15</v>
      </c>
      <c r="BC466">
        <v>25</v>
      </c>
      <c r="BE466" t="s">
        <v>139</v>
      </c>
      <c r="BG466">
        <v>0.1</v>
      </c>
      <c r="BP466">
        <v>12</v>
      </c>
      <c r="BS466" t="s">
        <v>1124</v>
      </c>
      <c r="BU466" t="s">
        <v>1139</v>
      </c>
      <c r="BV466">
        <v>38.892859999999999</v>
      </c>
      <c r="BW466">
        <v>1.0104679999999999</v>
      </c>
      <c r="BX466">
        <v>20</v>
      </c>
      <c r="BY466">
        <v>39.557139999999997</v>
      </c>
      <c r="BZ466">
        <v>0.2933617</v>
      </c>
      <c r="CA466">
        <v>20</v>
      </c>
      <c r="CB466" t="s">
        <v>113</v>
      </c>
      <c r="CC466" t="s">
        <v>1126</v>
      </c>
    </row>
    <row r="467" spans="1:81" x14ac:dyDescent="0.25">
      <c r="A467" t="s">
        <v>81</v>
      </c>
      <c r="B467">
        <v>466</v>
      </c>
      <c r="C467">
        <v>97</v>
      </c>
      <c r="D467">
        <v>85</v>
      </c>
      <c r="E467">
        <v>97</v>
      </c>
      <c r="F467">
        <v>98</v>
      </c>
      <c r="G467">
        <v>266</v>
      </c>
      <c r="H467">
        <v>363</v>
      </c>
      <c r="J467" t="s">
        <v>338</v>
      </c>
      <c r="L467" t="s">
        <v>1119</v>
      </c>
      <c r="M467" t="s">
        <v>85</v>
      </c>
      <c r="O467" t="s">
        <v>14</v>
      </c>
      <c r="P467" t="s">
        <v>1120</v>
      </c>
      <c r="Q467" t="s">
        <v>1121</v>
      </c>
      <c r="R467">
        <v>2016</v>
      </c>
      <c r="S467" t="s">
        <v>158</v>
      </c>
      <c r="U467" t="s">
        <v>1122</v>
      </c>
      <c r="V467" t="s">
        <v>1123</v>
      </c>
      <c r="W467" t="s">
        <v>170</v>
      </c>
      <c r="X467" t="s">
        <v>171</v>
      </c>
      <c r="Y467" t="s">
        <v>1006</v>
      </c>
      <c r="Z467" t="s">
        <v>1007</v>
      </c>
      <c r="AA467" t="s">
        <v>1008</v>
      </c>
      <c r="AB467" t="s">
        <v>1009</v>
      </c>
      <c r="AC467" t="s">
        <v>1010</v>
      </c>
      <c r="AD467" t="s">
        <v>98</v>
      </c>
      <c r="AE467" t="s">
        <v>177</v>
      </c>
      <c r="AF467" t="s">
        <v>100</v>
      </c>
      <c r="AG467" t="s">
        <v>261</v>
      </c>
      <c r="AH467" t="s">
        <v>262</v>
      </c>
      <c r="AI467" t="s">
        <v>103</v>
      </c>
      <c r="AJ467" t="s">
        <v>104</v>
      </c>
      <c r="AK467">
        <v>22</v>
      </c>
      <c r="AL467">
        <v>15</v>
      </c>
      <c r="AM467" t="s">
        <v>263</v>
      </c>
      <c r="AN467" t="s">
        <v>106</v>
      </c>
      <c r="AO467">
        <v>55.945127777800003</v>
      </c>
      <c r="AP467">
        <v>10.2125861111</v>
      </c>
      <c r="AQ467">
        <v>18</v>
      </c>
      <c r="AR467" t="s">
        <v>179</v>
      </c>
      <c r="AS467">
        <v>2010</v>
      </c>
      <c r="AV467">
        <v>22</v>
      </c>
      <c r="AW467" t="s">
        <v>269</v>
      </c>
      <c r="AX467">
        <v>20</v>
      </c>
      <c r="AY467" t="s">
        <v>134</v>
      </c>
      <c r="AZ467" t="s">
        <v>109</v>
      </c>
      <c r="BA467" t="s">
        <v>180</v>
      </c>
      <c r="BB467">
        <v>15</v>
      </c>
      <c r="BC467">
        <v>25</v>
      </c>
      <c r="BE467" t="s">
        <v>139</v>
      </c>
      <c r="BG467">
        <v>0.1</v>
      </c>
      <c r="BP467">
        <v>12</v>
      </c>
      <c r="BS467" t="s">
        <v>1124</v>
      </c>
      <c r="BU467" t="s">
        <v>1140</v>
      </c>
      <c r="BV467">
        <v>38.835709999999999</v>
      </c>
      <c r="BW467">
        <v>0.35855320000000002</v>
      </c>
      <c r="BX467">
        <v>20</v>
      </c>
      <c r="BY467">
        <v>39.728569999999998</v>
      </c>
      <c r="BZ467">
        <v>0.53782980000000002</v>
      </c>
      <c r="CA467">
        <v>20</v>
      </c>
      <c r="CB467" t="s">
        <v>113</v>
      </c>
      <c r="CC467" t="s">
        <v>1126</v>
      </c>
    </row>
    <row r="468" spans="1:81" x14ac:dyDescent="0.25">
      <c r="A468" t="s">
        <v>81</v>
      </c>
      <c r="B468">
        <v>467</v>
      </c>
      <c r="C468">
        <v>97</v>
      </c>
      <c r="D468">
        <v>85</v>
      </c>
      <c r="E468">
        <v>97</v>
      </c>
      <c r="F468">
        <v>98</v>
      </c>
      <c r="G468">
        <v>267</v>
      </c>
      <c r="H468">
        <v>364</v>
      </c>
      <c r="J468" t="s">
        <v>338</v>
      </c>
      <c r="L468" t="s">
        <v>1119</v>
      </c>
      <c r="M468" t="s">
        <v>85</v>
      </c>
      <c r="O468" t="s">
        <v>14</v>
      </c>
      <c r="P468" t="s">
        <v>1120</v>
      </c>
      <c r="Q468" t="s">
        <v>1121</v>
      </c>
      <c r="R468">
        <v>2016</v>
      </c>
      <c r="S468" t="s">
        <v>158</v>
      </c>
      <c r="U468" t="s">
        <v>1122</v>
      </c>
      <c r="V468" t="s">
        <v>1123</v>
      </c>
      <c r="W468" t="s">
        <v>170</v>
      </c>
      <c r="X468" t="s">
        <v>171</v>
      </c>
      <c r="Y468" t="s">
        <v>1006</v>
      </c>
      <c r="Z468" t="s">
        <v>1007</v>
      </c>
      <c r="AA468" t="s">
        <v>1008</v>
      </c>
      <c r="AB468" t="s">
        <v>1009</v>
      </c>
      <c r="AC468" t="s">
        <v>1010</v>
      </c>
      <c r="AD468" t="s">
        <v>98</v>
      </c>
      <c r="AE468" t="s">
        <v>177</v>
      </c>
      <c r="AF468" t="s">
        <v>100</v>
      </c>
      <c r="AG468" t="s">
        <v>261</v>
      </c>
      <c r="AH468" t="s">
        <v>262</v>
      </c>
      <c r="AI468" t="s">
        <v>103</v>
      </c>
      <c r="AJ468" t="s">
        <v>104</v>
      </c>
      <c r="AK468">
        <v>24</v>
      </c>
      <c r="AL468">
        <v>15</v>
      </c>
      <c r="AM468" t="s">
        <v>263</v>
      </c>
      <c r="AN468" t="s">
        <v>106</v>
      </c>
      <c r="AO468">
        <v>55.945127777800003</v>
      </c>
      <c r="AP468">
        <v>10.2125861111</v>
      </c>
      <c r="AQ468">
        <v>18</v>
      </c>
      <c r="AR468" t="s">
        <v>179</v>
      </c>
      <c r="AS468">
        <v>2010</v>
      </c>
      <c r="AV468">
        <v>24</v>
      </c>
      <c r="AW468" t="s">
        <v>269</v>
      </c>
      <c r="AX468">
        <v>20</v>
      </c>
      <c r="AY468" t="s">
        <v>134</v>
      </c>
      <c r="AZ468" t="s">
        <v>109</v>
      </c>
      <c r="BA468" t="s">
        <v>180</v>
      </c>
      <c r="BB468">
        <v>15</v>
      </c>
      <c r="BC468">
        <v>25</v>
      </c>
      <c r="BE468" t="s">
        <v>139</v>
      </c>
      <c r="BG468">
        <v>0.1</v>
      </c>
      <c r="BP468">
        <v>12</v>
      </c>
      <c r="BS468" t="s">
        <v>1124</v>
      </c>
      <c r="BU468" t="s">
        <v>1141</v>
      </c>
      <c r="BV468">
        <v>38.821429999999999</v>
      </c>
      <c r="BW468">
        <v>0.35855320000000002</v>
      </c>
      <c r="BX468">
        <v>20</v>
      </c>
      <c r="BY468">
        <v>39.625120000000003</v>
      </c>
      <c r="BZ468">
        <v>0.64258000000000004</v>
      </c>
      <c r="CA468">
        <v>20</v>
      </c>
      <c r="CB468" t="s">
        <v>113</v>
      </c>
      <c r="CC468" t="s">
        <v>1126</v>
      </c>
    </row>
    <row r="469" spans="1:81" x14ac:dyDescent="0.25">
      <c r="A469" t="s">
        <v>81</v>
      </c>
      <c r="B469">
        <v>468</v>
      </c>
      <c r="C469">
        <v>97</v>
      </c>
      <c r="D469">
        <v>85</v>
      </c>
      <c r="E469">
        <v>97</v>
      </c>
      <c r="F469">
        <v>98</v>
      </c>
      <c r="G469">
        <v>268</v>
      </c>
      <c r="H469">
        <v>365</v>
      </c>
      <c r="J469" t="s">
        <v>338</v>
      </c>
      <c r="L469" t="s">
        <v>1119</v>
      </c>
      <c r="M469" t="s">
        <v>85</v>
      </c>
      <c r="O469" t="s">
        <v>14</v>
      </c>
      <c r="P469" t="s">
        <v>1120</v>
      </c>
      <c r="Q469" t="s">
        <v>1121</v>
      </c>
      <c r="R469">
        <v>2016</v>
      </c>
      <c r="S469" t="s">
        <v>158</v>
      </c>
      <c r="U469" t="s">
        <v>1122</v>
      </c>
      <c r="V469" t="s">
        <v>1123</v>
      </c>
      <c r="W469" t="s">
        <v>170</v>
      </c>
      <c r="X469" t="s">
        <v>171</v>
      </c>
      <c r="Y469" t="s">
        <v>1006</v>
      </c>
      <c r="Z469" t="s">
        <v>1007</v>
      </c>
      <c r="AA469" t="s">
        <v>1008</v>
      </c>
      <c r="AB469" t="s">
        <v>1009</v>
      </c>
      <c r="AC469" t="s">
        <v>1010</v>
      </c>
      <c r="AD469" t="s">
        <v>98</v>
      </c>
      <c r="AE469" t="s">
        <v>177</v>
      </c>
      <c r="AF469" t="s">
        <v>100</v>
      </c>
      <c r="AG469" t="s">
        <v>261</v>
      </c>
      <c r="AH469" t="s">
        <v>262</v>
      </c>
      <c r="AI469" t="s">
        <v>103</v>
      </c>
      <c r="AJ469" t="s">
        <v>104</v>
      </c>
      <c r="AK469">
        <f>3/24</f>
        <v>0.125</v>
      </c>
      <c r="AL469">
        <v>25</v>
      </c>
      <c r="AM469" t="s">
        <v>263</v>
      </c>
      <c r="AN469" t="s">
        <v>106</v>
      </c>
      <c r="AO469">
        <v>55.945127777800003</v>
      </c>
      <c r="AP469">
        <v>10.2125861111</v>
      </c>
      <c r="AQ469">
        <v>18</v>
      </c>
      <c r="AR469" t="s">
        <v>179</v>
      </c>
      <c r="AS469">
        <v>2010</v>
      </c>
      <c r="AV469">
        <f>3/24</f>
        <v>0.125</v>
      </c>
      <c r="AW469" t="s">
        <v>269</v>
      </c>
      <c r="AX469">
        <v>20</v>
      </c>
      <c r="AY469" t="s">
        <v>134</v>
      </c>
      <c r="AZ469" t="s">
        <v>109</v>
      </c>
      <c r="BA469" t="s">
        <v>180</v>
      </c>
      <c r="BB469">
        <v>15</v>
      </c>
      <c r="BC469">
        <v>25</v>
      </c>
      <c r="BE469" t="s">
        <v>139</v>
      </c>
      <c r="BG469">
        <v>0.1</v>
      </c>
      <c r="BP469">
        <v>12</v>
      </c>
      <c r="BS469" t="s">
        <v>1124</v>
      </c>
      <c r="BU469" t="s">
        <v>1142</v>
      </c>
      <c r="BV469">
        <v>38.965530000000001</v>
      </c>
      <c r="BW469">
        <v>0.40583999999999998</v>
      </c>
      <c r="BX469">
        <v>20</v>
      </c>
      <c r="BY469">
        <v>40.180959999999999</v>
      </c>
      <c r="BZ469">
        <v>0.57494000000000001</v>
      </c>
      <c r="CA469">
        <v>20</v>
      </c>
      <c r="CB469" t="s">
        <v>113</v>
      </c>
      <c r="CC469" t="s">
        <v>1126</v>
      </c>
    </row>
    <row r="470" spans="1:81" x14ac:dyDescent="0.25">
      <c r="A470" t="s">
        <v>81</v>
      </c>
      <c r="B470">
        <v>469</v>
      </c>
      <c r="C470">
        <v>97</v>
      </c>
      <c r="D470">
        <v>85</v>
      </c>
      <c r="E470">
        <v>97</v>
      </c>
      <c r="F470">
        <v>98</v>
      </c>
      <c r="G470">
        <v>269</v>
      </c>
      <c r="H470">
        <v>366</v>
      </c>
      <c r="J470" t="s">
        <v>338</v>
      </c>
      <c r="L470" t="s">
        <v>1119</v>
      </c>
      <c r="M470" t="s">
        <v>85</v>
      </c>
      <c r="O470" t="s">
        <v>14</v>
      </c>
      <c r="P470" t="s">
        <v>1120</v>
      </c>
      <c r="Q470" t="s">
        <v>1121</v>
      </c>
      <c r="R470">
        <v>2016</v>
      </c>
      <c r="S470" t="s">
        <v>158</v>
      </c>
      <c r="U470" t="s">
        <v>1122</v>
      </c>
      <c r="V470" t="s">
        <v>1123</v>
      </c>
      <c r="W470" t="s">
        <v>170</v>
      </c>
      <c r="X470" t="s">
        <v>171</v>
      </c>
      <c r="Y470" t="s">
        <v>1006</v>
      </c>
      <c r="Z470" t="s">
        <v>1007</v>
      </c>
      <c r="AA470" t="s">
        <v>1008</v>
      </c>
      <c r="AB470" t="s">
        <v>1009</v>
      </c>
      <c r="AC470" t="s">
        <v>1010</v>
      </c>
      <c r="AD470" t="s">
        <v>98</v>
      </c>
      <c r="AE470" t="s">
        <v>177</v>
      </c>
      <c r="AF470" t="s">
        <v>100</v>
      </c>
      <c r="AG470" t="s">
        <v>261</v>
      </c>
      <c r="AH470" t="s">
        <v>262</v>
      </c>
      <c r="AI470" t="s">
        <v>103</v>
      </c>
      <c r="AJ470" t="s">
        <v>104</v>
      </c>
      <c r="AK470">
        <f>6/24</f>
        <v>0.25</v>
      </c>
      <c r="AL470">
        <v>25</v>
      </c>
      <c r="AM470" t="s">
        <v>263</v>
      </c>
      <c r="AN470" t="s">
        <v>106</v>
      </c>
      <c r="AO470">
        <v>55.945127777800003</v>
      </c>
      <c r="AP470">
        <v>10.2125861111</v>
      </c>
      <c r="AQ470">
        <v>18</v>
      </c>
      <c r="AR470" t="s">
        <v>179</v>
      </c>
      <c r="AS470">
        <v>2010</v>
      </c>
      <c r="AV470">
        <f>6/24</f>
        <v>0.25</v>
      </c>
      <c r="AW470" t="s">
        <v>269</v>
      </c>
      <c r="AX470">
        <v>20</v>
      </c>
      <c r="AY470" t="s">
        <v>134</v>
      </c>
      <c r="AZ470" t="s">
        <v>109</v>
      </c>
      <c r="BA470" t="s">
        <v>180</v>
      </c>
      <c r="BB470">
        <v>15</v>
      </c>
      <c r="BC470">
        <v>25</v>
      </c>
      <c r="BE470" t="s">
        <v>139</v>
      </c>
      <c r="BG470">
        <v>0.1</v>
      </c>
      <c r="BP470">
        <v>12</v>
      </c>
      <c r="BS470" t="s">
        <v>1124</v>
      </c>
      <c r="BU470" t="s">
        <v>1143</v>
      </c>
      <c r="BV470">
        <v>39.024819999999998</v>
      </c>
      <c r="BW470">
        <v>0.89622999999999997</v>
      </c>
      <c r="BX470">
        <v>20</v>
      </c>
      <c r="BY470">
        <v>40.180959999999999</v>
      </c>
      <c r="BZ470">
        <v>0.54112000000000005</v>
      </c>
      <c r="CA470">
        <v>20</v>
      </c>
      <c r="CB470" t="s">
        <v>113</v>
      </c>
      <c r="CC470" t="s">
        <v>1126</v>
      </c>
    </row>
    <row r="471" spans="1:81" x14ac:dyDescent="0.25">
      <c r="A471" t="s">
        <v>81</v>
      </c>
      <c r="B471">
        <v>470</v>
      </c>
      <c r="C471">
        <v>97</v>
      </c>
      <c r="D471">
        <v>85</v>
      </c>
      <c r="E471">
        <v>97</v>
      </c>
      <c r="F471">
        <v>98</v>
      </c>
      <c r="G471">
        <v>270</v>
      </c>
      <c r="H471">
        <v>367</v>
      </c>
      <c r="J471" t="s">
        <v>338</v>
      </c>
      <c r="L471" t="s">
        <v>1119</v>
      </c>
      <c r="M471" t="s">
        <v>85</v>
      </c>
      <c r="O471" t="s">
        <v>14</v>
      </c>
      <c r="P471" t="s">
        <v>1120</v>
      </c>
      <c r="Q471" t="s">
        <v>1121</v>
      </c>
      <c r="R471">
        <v>2016</v>
      </c>
      <c r="S471" t="s">
        <v>158</v>
      </c>
      <c r="U471" t="s">
        <v>1122</v>
      </c>
      <c r="V471" t="s">
        <v>1123</v>
      </c>
      <c r="W471" t="s">
        <v>170</v>
      </c>
      <c r="X471" t="s">
        <v>171</v>
      </c>
      <c r="Y471" t="s">
        <v>1006</v>
      </c>
      <c r="Z471" t="s">
        <v>1007</v>
      </c>
      <c r="AA471" t="s">
        <v>1008</v>
      </c>
      <c r="AB471" t="s">
        <v>1009</v>
      </c>
      <c r="AC471" t="s">
        <v>1010</v>
      </c>
      <c r="AD471" t="s">
        <v>98</v>
      </c>
      <c r="AE471" t="s">
        <v>177</v>
      </c>
      <c r="AF471" t="s">
        <v>100</v>
      </c>
      <c r="AG471" t="s">
        <v>261</v>
      </c>
      <c r="AH471" t="s">
        <v>262</v>
      </c>
      <c r="AI471" t="s">
        <v>103</v>
      </c>
      <c r="AJ471" t="s">
        <v>104</v>
      </c>
      <c r="AK471">
        <f>12/24</f>
        <v>0.5</v>
      </c>
      <c r="AL471">
        <v>25</v>
      </c>
      <c r="AM471" t="s">
        <v>263</v>
      </c>
      <c r="AN471" t="s">
        <v>106</v>
      </c>
      <c r="AO471">
        <v>55.945127777800003</v>
      </c>
      <c r="AP471">
        <v>10.2125861111</v>
      </c>
      <c r="AQ471">
        <v>18</v>
      </c>
      <c r="AR471" t="s">
        <v>179</v>
      </c>
      <c r="AS471">
        <v>2010</v>
      </c>
      <c r="AV471">
        <f>12/24</f>
        <v>0.5</v>
      </c>
      <c r="AW471" t="s">
        <v>269</v>
      </c>
      <c r="AX471">
        <v>20</v>
      </c>
      <c r="AY471" t="s">
        <v>134</v>
      </c>
      <c r="AZ471" t="s">
        <v>109</v>
      </c>
      <c r="BA471" t="s">
        <v>180</v>
      </c>
      <c r="BB471">
        <v>15</v>
      </c>
      <c r="BC471">
        <v>25</v>
      </c>
      <c r="BE471" t="s">
        <v>139</v>
      </c>
      <c r="BG471">
        <v>0.1</v>
      </c>
      <c r="BP471">
        <v>12</v>
      </c>
      <c r="BS471" t="s">
        <v>1124</v>
      </c>
      <c r="BU471" t="s">
        <v>1144</v>
      </c>
      <c r="BV471">
        <v>39.210099999999997</v>
      </c>
      <c r="BW471">
        <v>0.79476999999999998</v>
      </c>
      <c r="BX471">
        <v>20</v>
      </c>
      <c r="BY471">
        <v>40.158729999999998</v>
      </c>
      <c r="BZ471">
        <v>0.45656999999999998</v>
      </c>
      <c r="CA471">
        <v>20</v>
      </c>
      <c r="CB471" t="s">
        <v>113</v>
      </c>
      <c r="CC471" t="s">
        <v>1126</v>
      </c>
    </row>
    <row r="472" spans="1:81" x14ac:dyDescent="0.25">
      <c r="A472" t="s">
        <v>81</v>
      </c>
      <c r="B472">
        <v>471</v>
      </c>
      <c r="C472">
        <v>97</v>
      </c>
      <c r="D472">
        <v>85</v>
      </c>
      <c r="E472">
        <v>97</v>
      </c>
      <c r="F472">
        <v>98</v>
      </c>
      <c r="G472">
        <v>271</v>
      </c>
      <c r="H472">
        <v>368</v>
      </c>
      <c r="J472" t="s">
        <v>338</v>
      </c>
      <c r="L472" t="s">
        <v>1119</v>
      </c>
      <c r="M472" t="s">
        <v>85</v>
      </c>
      <c r="O472" t="s">
        <v>14</v>
      </c>
      <c r="P472" t="s">
        <v>1120</v>
      </c>
      <c r="Q472" t="s">
        <v>1121</v>
      </c>
      <c r="R472">
        <v>2016</v>
      </c>
      <c r="S472" t="s">
        <v>158</v>
      </c>
      <c r="U472" t="s">
        <v>1122</v>
      </c>
      <c r="V472" t="s">
        <v>1123</v>
      </c>
      <c r="W472" t="s">
        <v>170</v>
      </c>
      <c r="X472" t="s">
        <v>171</v>
      </c>
      <c r="Y472" t="s">
        <v>1006</v>
      </c>
      <c r="Z472" t="s">
        <v>1007</v>
      </c>
      <c r="AA472" t="s">
        <v>1008</v>
      </c>
      <c r="AB472" t="s">
        <v>1009</v>
      </c>
      <c r="AC472" t="s">
        <v>1010</v>
      </c>
      <c r="AD472" t="s">
        <v>98</v>
      </c>
      <c r="AE472" t="s">
        <v>177</v>
      </c>
      <c r="AF472" t="s">
        <v>100</v>
      </c>
      <c r="AG472" t="s">
        <v>261</v>
      </c>
      <c r="AH472" t="s">
        <v>262</v>
      </c>
      <c r="AI472" t="s">
        <v>103</v>
      </c>
      <c r="AJ472" t="s">
        <v>104</v>
      </c>
      <c r="AK472">
        <v>1</v>
      </c>
      <c r="AL472">
        <v>25</v>
      </c>
      <c r="AM472" t="s">
        <v>263</v>
      </c>
      <c r="AN472" t="s">
        <v>106</v>
      </c>
      <c r="AO472">
        <v>55.945127777800003</v>
      </c>
      <c r="AP472">
        <v>10.2125861111</v>
      </c>
      <c r="AQ472">
        <v>18</v>
      </c>
      <c r="AR472" t="s">
        <v>179</v>
      </c>
      <c r="AS472">
        <v>2010</v>
      </c>
      <c r="AV472">
        <v>1</v>
      </c>
      <c r="AW472" t="s">
        <v>269</v>
      </c>
      <c r="AX472">
        <v>20</v>
      </c>
      <c r="AY472" t="s">
        <v>134</v>
      </c>
      <c r="AZ472" t="s">
        <v>109</v>
      </c>
      <c r="BA472" t="s">
        <v>180</v>
      </c>
      <c r="BB472">
        <v>15</v>
      </c>
      <c r="BC472">
        <v>25</v>
      </c>
      <c r="BE472" t="s">
        <v>139</v>
      </c>
      <c r="BG472">
        <v>0.1</v>
      </c>
      <c r="BP472">
        <v>12</v>
      </c>
      <c r="BS472" t="s">
        <v>1124</v>
      </c>
      <c r="BU472" t="s">
        <v>1145</v>
      </c>
      <c r="BV472">
        <v>39.44726</v>
      </c>
      <c r="BW472">
        <v>0.54112000000000005</v>
      </c>
      <c r="BX472">
        <v>20</v>
      </c>
      <c r="BY472">
        <v>40.121670000000002</v>
      </c>
      <c r="BZ472">
        <v>0.40583999999999998</v>
      </c>
      <c r="CA472">
        <v>20</v>
      </c>
      <c r="CB472" t="s">
        <v>113</v>
      </c>
      <c r="CC472" t="s">
        <v>1126</v>
      </c>
    </row>
    <row r="473" spans="1:81" x14ac:dyDescent="0.25">
      <c r="A473" t="s">
        <v>81</v>
      </c>
      <c r="B473">
        <v>472</v>
      </c>
      <c r="C473">
        <v>97</v>
      </c>
      <c r="D473">
        <v>85</v>
      </c>
      <c r="E473">
        <v>97</v>
      </c>
      <c r="F473">
        <v>98</v>
      </c>
      <c r="G473">
        <v>272</v>
      </c>
      <c r="H473">
        <v>369</v>
      </c>
      <c r="J473" t="s">
        <v>338</v>
      </c>
      <c r="L473" t="s">
        <v>1119</v>
      </c>
      <c r="M473" t="s">
        <v>85</v>
      </c>
      <c r="O473" t="s">
        <v>14</v>
      </c>
      <c r="P473" t="s">
        <v>1120</v>
      </c>
      <c r="Q473" t="s">
        <v>1121</v>
      </c>
      <c r="R473">
        <v>2016</v>
      </c>
      <c r="S473" t="s">
        <v>158</v>
      </c>
      <c r="U473" t="s">
        <v>1122</v>
      </c>
      <c r="V473" t="s">
        <v>1123</v>
      </c>
      <c r="W473" t="s">
        <v>170</v>
      </c>
      <c r="X473" t="s">
        <v>171</v>
      </c>
      <c r="Y473" t="s">
        <v>1006</v>
      </c>
      <c r="Z473" t="s">
        <v>1007</v>
      </c>
      <c r="AA473" t="s">
        <v>1008</v>
      </c>
      <c r="AB473" t="s">
        <v>1009</v>
      </c>
      <c r="AC473" t="s">
        <v>1010</v>
      </c>
      <c r="AD473" t="s">
        <v>98</v>
      </c>
      <c r="AE473" t="s">
        <v>177</v>
      </c>
      <c r="AF473" t="s">
        <v>100</v>
      </c>
      <c r="AG473" t="s">
        <v>261</v>
      </c>
      <c r="AH473" t="s">
        <v>262</v>
      </c>
      <c r="AI473" t="s">
        <v>103</v>
      </c>
      <c r="AJ473" t="s">
        <v>104</v>
      </c>
      <c r="AK473">
        <v>2</v>
      </c>
      <c r="AL473">
        <v>25</v>
      </c>
      <c r="AM473" t="s">
        <v>263</v>
      </c>
      <c r="AN473" t="s">
        <v>106</v>
      </c>
      <c r="AO473">
        <v>55.945127777800003</v>
      </c>
      <c r="AP473">
        <v>10.2125861111</v>
      </c>
      <c r="AQ473">
        <v>18</v>
      </c>
      <c r="AR473" t="s">
        <v>179</v>
      </c>
      <c r="AS473">
        <v>2010</v>
      </c>
      <c r="AV473">
        <v>2</v>
      </c>
      <c r="AW473" t="s">
        <v>269</v>
      </c>
      <c r="AX473">
        <v>20</v>
      </c>
      <c r="AY473" t="s">
        <v>134</v>
      </c>
      <c r="AZ473" t="s">
        <v>109</v>
      </c>
      <c r="BA473" t="s">
        <v>180</v>
      </c>
      <c r="BB473">
        <v>15</v>
      </c>
      <c r="BC473">
        <v>25</v>
      </c>
      <c r="BE473" t="s">
        <v>139</v>
      </c>
      <c r="BG473">
        <v>0.1</v>
      </c>
      <c r="BP473">
        <v>12</v>
      </c>
      <c r="BS473" t="s">
        <v>1124</v>
      </c>
      <c r="BU473" t="s">
        <v>1146</v>
      </c>
      <c r="BV473">
        <v>39.68441</v>
      </c>
      <c r="BW473">
        <v>1.14988</v>
      </c>
      <c r="BX473">
        <v>20</v>
      </c>
      <c r="BY473">
        <v>40.455170000000003</v>
      </c>
      <c r="BZ473">
        <v>0.35510999999999998</v>
      </c>
      <c r="CA473">
        <v>20</v>
      </c>
      <c r="CB473" t="s">
        <v>113</v>
      </c>
      <c r="CC473" t="s">
        <v>1126</v>
      </c>
    </row>
    <row r="474" spans="1:81" x14ac:dyDescent="0.25">
      <c r="A474" t="s">
        <v>81</v>
      </c>
      <c r="B474">
        <v>473</v>
      </c>
      <c r="C474">
        <v>97</v>
      </c>
      <c r="D474">
        <v>85</v>
      </c>
      <c r="E474">
        <v>97</v>
      </c>
      <c r="F474">
        <v>98</v>
      </c>
      <c r="G474">
        <v>273</v>
      </c>
      <c r="H474">
        <v>370</v>
      </c>
      <c r="J474" t="s">
        <v>338</v>
      </c>
      <c r="L474" t="s">
        <v>1119</v>
      </c>
      <c r="M474" t="s">
        <v>85</v>
      </c>
      <c r="O474" t="s">
        <v>14</v>
      </c>
      <c r="P474" t="s">
        <v>1120</v>
      </c>
      <c r="Q474" t="s">
        <v>1121</v>
      </c>
      <c r="R474">
        <v>2016</v>
      </c>
      <c r="S474" t="s">
        <v>158</v>
      </c>
      <c r="U474" t="s">
        <v>1122</v>
      </c>
      <c r="V474" t="s">
        <v>1123</v>
      </c>
      <c r="W474" t="s">
        <v>170</v>
      </c>
      <c r="X474" t="s">
        <v>171</v>
      </c>
      <c r="Y474" t="s">
        <v>1006</v>
      </c>
      <c r="Z474" t="s">
        <v>1007</v>
      </c>
      <c r="AA474" t="s">
        <v>1008</v>
      </c>
      <c r="AB474" t="s">
        <v>1009</v>
      </c>
      <c r="AC474" t="s">
        <v>1010</v>
      </c>
      <c r="AD474" t="s">
        <v>98</v>
      </c>
      <c r="AE474" t="s">
        <v>177</v>
      </c>
      <c r="AF474" t="s">
        <v>100</v>
      </c>
      <c r="AG474" t="s">
        <v>261</v>
      </c>
      <c r="AH474" t="s">
        <v>262</v>
      </c>
      <c r="AI474" t="s">
        <v>103</v>
      </c>
      <c r="AJ474" t="s">
        <v>104</v>
      </c>
      <c r="AK474">
        <v>4</v>
      </c>
      <c r="AL474">
        <v>25</v>
      </c>
      <c r="AM474" t="s">
        <v>263</v>
      </c>
      <c r="AN474" t="s">
        <v>106</v>
      </c>
      <c r="AO474">
        <v>55.945127777800003</v>
      </c>
      <c r="AP474">
        <v>10.2125861111</v>
      </c>
      <c r="AQ474">
        <v>18</v>
      </c>
      <c r="AR474" t="s">
        <v>179</v>
      </c>
      <c r="AS474">
        <v>2010</v>
      </c>
      <c r="AV474">
        <v>4</v>
      </c>
      <c r="AW474" t="s">
        <v>269</v>
      </c>
      <c r="AX474">
        <v>20</v>
      </c>
      <c r="AY474" t="s">
        <v>134</v>
      </c>
      <c r="AZ474" t="s">
        <v>109</v>
      </c>
      <c r="BA474" t="s">
        <v>180</v>
      </c>
      <c r="BB474">
        <v>15</v>
      </c>
      <c r="BC474">
        <v>25</v>
      </c>
      <c r="BE474" t="s">
        <v>139</v>
      </c>
      <c r="BG474">
        <v>0.1</v>
      </c>
      <c r="BP474">
        <v>12</v>
      </c>
      <c r="BS474" t="s">
        <v>1124</v>
      </c>
      <c r="BU474" t="s">
        <v>1147</v>
      </c>
      <c r="BV474">
        <v>39.714060000000003</v>
      </c>
      <c r="BW474">
        <v>0.55803000000000003</v>
      </c>
      <c r="BX474">
        <v>20</v>
      </c>
      <c r="BY474">
        <v>40.432940000000002</v>
      </c>
      <c r="BZ474">
        <v>0.52420999999999995</v>
      </c>
      <c r="CA474">
        <v>20</v>
      </c>
      <c r="CB474" t="s">
        <v>113</v>
      </c>
      <c r="CC474" t="s">
        <v>1126</v>
      </c>
    </row>
    <row r="475" spans="1:81" x14ac:dyDescent="0.25">
      <c r="A475" t="s">
        <v>81</v>
      </c>
      <c r="B475">
        <v>474</v>
      </c>
      <c r="C475">
        <v>97</v>
      </c>
      <c r="D475">
        <v>85</v>
      </c>
      <c r="E475">
        <v>97</v>
      </c>
      <c r="F475">
        <v>98</v>
      </c>
      <c r="G475">
        <v>274</v>
      </c>
      <c r="H475">
        <v>371</v>
      </c>
      <c r="J475" t="s">
        <v>338</v>
      </c>
      <c r="L475" t="s">
        <v>1119</v>
      </c>
      <c r="M475" t="s">
        <v>85</v>
      </c>
      <c r="O475" t="s">
        <v>14</v>
      </c>
      <c r="P475" t="s">
        <v>1120</v>
      </c>
      <c r="Q475" t="s">
        <v>1121</v>
      </c>
      <c r="R475">
        <v>2016</v>
      </c>
      <c r="S475" t="s">
        <v>158</v>
      </c>
      <c r="U475" t="s">
        <v>1122</v>
      </c>
      <c r="V475" t="s">
        <v>1123</v>
      </c>
      <c r="W475" t="s">
        <v>170</v>
      </c>
      <c r="X475" t="s">
        <v>171</v>
      </c>
      <c r="Y475" t="s">
        <v>1006</v>
      </c>
      <c r="Z475" t="s">
        <v>1007</v>
      </c>
      <c r="AA475" t="s">
        <v>1008</v>
      </c>
      <c r="AB475" t="s">
        <v>1009</v>
      </c>
      <c r="AC475" t="s">
        <v>1010</v>
      </c>
      <c r="AD475" t="s">
        <v>98</v>
      </c>
      <c r="AE475" t="s">
        <v>177</v>
      </c>
      <c r="AF475" t="s">
        <v>100</v>
      </c>
      <c r="AG475" t="s">
        <v>261</v>
      </c>
      <c r="AH475" t="s">
        <v>262</v>
      </c>
      <c r="AI475" t="s">
        <v>103</v>
      </c>
      <c r="AJ475" t="s">
        <v>104</v>
      </c>
      <c r="AK475">
        <v>6</v>
      </c>
      <c r="AL475">
        <v>25</v>
      </c>
      <c r="AM475" t="s">
        <v>263</v>
      </c>
      <c r="AN475" t="s">
        <v>106</v>
      </c>
      <c r="AO475">
        <v>55.945127777800003</v>
      </c>
      <c r="AP475">
        <v>10.2125861111</v>
      </c>
      <c r="AQ475">
        <v>18</v>
      </c>
      <c r="AR475" t="s">
        <v>179</v>
      </c>
      <c r="AS475">
        <v>2010</v>
      </c>
      <c r="AV475">
        <v>6</v>
      </c>
      <c r="AW475" t="s">
        <v>269</v>
      </c>
      <c r="AX475">
        <v>20</v>
      </c>
      <c r="AY475" t="s">
        <v>134</v>
      </c>
      <c r="AZ475" t="s">
        <v>109</v>
      </c>
      <c r="BA475" t="s">
        <v>180</v>
      </c>
      <c r="BB475">
        <v>15</v>
      </c>
      <c r="BC475">
        <v>25</v>
      </c>
      <c r="BE475" t="s">
        <v>139</v>
      </c>
      <c r="BG475">
        <v>0.1</v>
      </c>
      <c r="BP475">
        <v>12</v>
      </c>
      <c r="BS475" t="s">
        <v>1124</v>
      </c>
      <c r="BU475" t="s">
        <v>1148</v>
      </c>
      <c r="BV475">
        <v>39.906750000000002</v>
      </c>
      <c r="BW475">
        <v>0.86241000000000001</v>
      </c>
      <c r="BX475">
        <v>20</v>
      </c>
      <c r="BY475">
        <v>41.011009999999999</v>
      </c>
      <c r="BZ475">
        <v>0.69330999999999998</v>
      </c>
      <c r="CA475">
        <v>20</v>
      </c>
      <c r="CB475" t="s">
        <v>113</v>
      </c>
      <c r="CC475" t="s">
        <v>1126</v>
      </c>
    </row>
    <row r="476" spans="1:81" x14ac:dyDescent="0.25">
      <c r="A476" t="s">
        <v>81</v>
      </c>
      <c r="B476">
        <v>475</v>
      </c>
      <c r="C476">
        <v>97</v>
      </c>
      <c r="D476">
        <v>85</v>
      </c>
      <c r="E476">
        <v>97</v>
      </c>
      <c r="F476">
        <v>98</v>
      </c>
      <c r="G476">
        <v>275</v>
      </c>
      <c r="H476">
        <v>372</v>
      </c>
      <c r="J476" t="s">
        <v>338</v>
      </c>
      <c r="L476" t="s">
        <v>1119</v>
      </c>
      <c r="M476" t="s">
        <v>85</v>
      </c>
      <c r="O476" t="s">
        <v>14</v>
      </c>
      <c r="P476" t="s">
        <v>1120</v>
      </c>
      <c r="Q476" t="s">
        <v>1121</v>
      </c>
      <c r="R476">
        <v>2016</v>
      </c>
      <c r="S476" t="s">
        <v>158</v>
      </c>
      <c r="U476" t="s">
        <v>1122</v>
      </c>
      <c r="V476" t="s">
        <v>1123</v>
      </c>
      <c r="W476" t="s">
        <v>170</v>
      </c>
      <c r="X476" t="s">
        <v>171</v>
      </c>
      <c r="Y476" t="s">
        <v>1006</v>
      </c>
      <c r="Z476" t="s">
        <v>1007</v>
      </c>
      <c r="AA476" t="s">
        <v>1008</v>
      </c>
      <c r="AB476" t="s">
        <v>1009</v>
      </c>
      <c r="AC476" t="s">
        <v>1010</v>
      </c>
      <c r="AD476" t="s">
        <v>98</v>
      </c>
      <c r="AE476" t="s">
        <v>177</v>
      </c>
      <c r="AF476" t="s">
        <v>100</v>
      </c>
      <c r="AG476" t="s">
        <v>261</v>
      </c>
      <c r="AH476" t="s">
        <v>262</v>
      </c>
      <c r="AI476" t="s">
        <v>103</v>
      </c>
      <c r="AJ476" t="s">
        <v>104</v>
      </c>
      <c r="AK476">
        <v>8</v>
      </c>
      <c r="AL476">
        <v>25</v>
      </c>
      <c r="AM476" t="s">
        <v>263</v>
      </c>
      <c r="AN476" t="s">
        <v>106</v>
      </c>
      <c r="AO476">
        <v>55.945127777800003</v>
      </c>
      <c r="AP476">
        <v>10.2125861111</v>
      </c>
      <c r="AQ476">
        <v>18</v>
      </c>
      <c r="AR476" t="s">
        <v>179</v>
      </c>
      <c r="AS476">
        <v>2010</v>
      </c>
      <c r="AV476">
        <v>8</v>
      </c>
      <c r="AW476" t="s">
        <v>269</v>
      </c>
      <c r="AX476">
        <v>20</v>
      </c>
      <c r="AY476" t="s">
        <v>134</v>
      </c>
      <c r="AZ476" t="s">
        <v>109</v>
      </c>
      <c r="BA476" t="s">
        <v>180</v>
      </c>
      <c r="BB476">
        <v>15</v>
      </c>
      <c r="BC476">
        <v>25</v>
      </c>
      <c r="BE476" t="s">
        <v>139</v>
      </c>
      <c r="BG476">
        <v>0.1</v>
      </c>
      <c r="BP476">
        <v>12</v>
      </c>
      <c r="BS476" t="s">
        <v>1124</v>
      </c>
      <c r="BU476" t="s">
        <v>1149</v>
      </c>
      <c r="BV476">
        <v>39.358319999999999</v>
      </c>
      <c r="BW476">
        <v>0.55803000000000003</v>
      </c>
      <c r="BX476">
        <v>20</v>
      </c>
      <c r="BY476">
        <v>40.477400000000003</v>
      </c>
      <c r="BZ476">
        <v>0.45656999999999998</v>
      </c>
      <c r="CA476">
        <v>20</v>
      </c>
      <c r="CB476" t="s">
        <v>113</v>
      </c>
      <c r="CC476" t="s">
        <v>1126</v>
      </c>
    </row>
    <row r="477" spans="1:81" x14ac:dyDescent="0.25">
      <c r="A477" t="s">
        <v>81</v>
      </c>
      <c r="B477">
        <v>476</v>
      </c>
      <c r="C477">
        <v>97</v>
      </c>
      <c r="D477">
        <v>85</v>
      </c>
      <c r="E477">
        <v>97</v>
      </c>
      <c r="F477">
        <v>98</v>
      </c>
      <c r="G477">
        <v>276</v>
      </c>
      <c r="H477">
        <v>373</v>
      </c>
      <c r="J477" t="s">
        <v>338</v>
      </c>
      <c r="L477" t="s">
        <v>1119</v>
      </c>
      <c r="M477" t="s">
        <v>85</v>
      </c>
      <c r="O477" t="s">
        <v>14</v>
      </c>
      <c r="P477" t="s">
        <v>1120</v>
      </c>
      <c r="Q477" t="s">
        <v>1121</v>
      </c>
      <c r="R477">
        <v>2016</v>
      </c>
      <c r="S477" t="s">
        <v>158</v>
      </c>
      <c r="U477" t="s">
        <v>1122</v>
      </c>
      <c r="V477" t="s">
        <v>1123</v>
      </c>
      <c r="W477" t="s">
        <v>170</v>
      </c>
      <c r="X477" t="s">
        <v>171</v>
      </c>
      <c r="Y477" t="s">
        <v>1006</v>
      </c>
      <c r="Z477" t="s">
        <v>1007</v>
      </c>
      <c r="AA477" t="s">
        <v>1008</v>
      </c>
      <c r="AB477" t="s">
        <v>1009</v>
      </c>
      <c r="AC477" t="s">
        <v>1010</v>
      </c>
      <c r="AD477" t="s">
        <v>98</v>
      </c>
      <c r="AE477" t="s">
        <v>177</v>
      </c>
      <c r="AF477" t="s">
        <v>100</v>
      </c>
      <c r="AG477" t="s">
        <v>261</v>
      </c>
      <c r="AH477" t="s">
        <v>262</v>
      </c>
      <c r="AI477" t="s">
        <v>103</v>
      </c>
      <c r="AJ477" t="s">
        <v>104</v>
      </c>
      <c r="AK477">
        <v>10</v>
      </c>
      <c r="AL477">
        <v>25</v>
      </c>
      <c r="AM477" t="s">
        <v>263</v>
      </c>
      <c r="AN477" t="s">
        <v>106</v>
      </c>
      <c r="AO477">
        <v>55.945127777800003</v>
      </c>
      <c r="AP477">
        <v>10.2125861111</v>
      </c>
      <c r="AQ477">
        <v>18</v>
      </c>
      <c r="AR477" t="s">
        <v>179</v>
      </c>
      <c r="AS477">
        <v>2010</v>
      </c>
      <c r="AV477">
        <v>10</v>
      </c>
      <c r="AW477" t="s">
        <v>269</v>
      </c>
      <c r="AX477">
        <v>20</v>
      </c>
      <c r="AY477" t="s">
        <v>134</v>
      </c>
      <c r="AZ477" t="s">
        <v>109</v>
      </c>
      <c r="BA477" t="s">
        <v>180</v>
      </c>
      <c r="BB477">
        <v>15</v>
      </c>
      <c r="BC477">
        <v>25</v>
      </c>
      <c r="BE477" t="s">
        <v>139</v>
      </c>
      <c r="BG477">
        <v>0.1</v>
      </c>
      <c r="BP477">
        <v>12</v>
      </c>
      <c r="BS477" t="s">
        <v>1124</v>
      </c>
      <c r="BU477" t="s">
        <v>1150</v>
      </c>
      <c r="BV477">
        <v>39.825220000000002</v>
      </c>
      <c r="BW477">
        <v>0.6764</v>
      </c>
      <c r="BX477">
        <v>20</v>
      </c>
      <c r="BY477">
        <v>39.951210000000003</v>
      </c>
      <c r="BZ477">
        <v>0.42275000000000001</v>
      </c>
      <c r="CA477">
        <v>20</v>
      </c>
      <c r="CB477" t="s">
        <v>113</v>
      </c>
      <c r="CC477" t="s">
        <v>1126</v>
      </c>
    </row>
    <row r="478" spans="1:81" x14ac:dyDescent="0.25">
      <c r="A478" t="s">
        <v>81</v>
      </c>
      <c r="B478">
        <v>477</v>
      </c>
      <c r="C478">
        <v>97</v>
      </c>
      <c r="D478">
        <v>85</v>
      </c>
      <c r="E478">
        <v>97</v>
      </c>
      <c r="F478">
        <v>98</v>
      </c>
      <c r="G478">
        <v>277</v>
      </c>
      <c r="H478">
        <v>374</v>
      </c>
      <c r="J478" t="s">
        <v>338</v>
      </c>
      <c r="L478" t="s">
        <v>1119</v>
      </c>
      <c r="M478" t="s">
        <v>85</v>
      </c>
      <c r="O478" t="s">
        <v>14</v>
      </c>
      <c r="P478" t="s">
        <v>1120</v>
      </c>
      <c r="Q478" t="s">
        <v>1121</v>
      </c>
      <c r="R478">
        <v>2016</v>
      </c>
      <c r="S478" t="s">
        <v>158</v>
      </c>
      <c r="U478" t="s">
        <v>1122</v>
      </c>
      <c r="V478" t="s">
        <v>1123</v>
      </c>
      <c r="W478" t="s">
        <v>170</v>
      </c>
      <c r="X478" t="s">
        <v>171</v>
      </c>
      <c r="Y478" t="s">
        <v>1006</v>
      </c>
      <c r="Z478" t="s">
        <v>1007</v>
      </c>
      <c r="AA478" t="s">
        <v>1008</v>
      </c>
      <c r="AB478" t="s">
        <v>1009</v>
      </c>
      <c r="AC478" t="s">
        <v>1010</v>
      </c>
      <c r="AD478" t="s">
        <v>98</v>
      </c>
      <c r="AE478" t="s">
        <v>177</v>
      </c>
      <c r="AF478" t="s">
        <v>100</v>
      </c>
      <c r="AG478" t="s">
        <v>261</v>
      </c>
      <c r="AH478" t="s">
        <v>262</v>
      </c>
      <c r="AI478" t="s">
        <v>103</v>
      </c>
      <c r="AJ478" t="s">
        <v>104</v>
      </c>
      <c r="AK478">
        <v>12</v>
      </c>
      <c r="AL478">
        <v>25</v>
      </c>
      <c r="AM478" t="s">
        <v>263</v>
      </c>
      <c r="AN478" t="s">
        <v>106</v>
      </c>
      <c r="AO478">
        <v>55.945127777800003</v>
      </c>
      <c r="AP478">
        <v>10.2125861111</v>
      </c>
      <c r="AQ478">
        <v>18</v>
      </c>
      <c r="AR478" t="s">
        <v>179</v>
      </c>
      <c r="AS478">
        <v>2010</v>
      </c>
      <c r="AV478">
        <v>12</v>
      </c>
      <c r="AW478" t="s">
        <v>269</v>
      </c>
      <c r="AX478">
        <v>20</v>
      </c>
      <c r="AY478" t="s">
        <v>134</v>
      </c>
      <c r="AZ478" t="s">
        <v>109</v>
      </c>
      <c r="BA478" t="s">
        <v>180</v>
      </c>
      <c r="BB478">
        <v>15</v>
      </c>
      <c r="BC478">
        <v>25</v>
      </c>
      <c r="BE478" t="s">
        <v>139</v>
      </c>
      <c r="BG478">
        <v>0.1</v>
      </c>
      <c r="BP478">
        <v>12</v>
      </c>
      <c r="BS478" t="s">
        <v>1124</v>
      </c>
      <c r="BU478" t="s">
        <v>1151</v>
      </c>
      <c r="BV478">
        <v>39.758519999999997</v>
      </c>
      <c r="BW478">
        <v>0.32129000000000002</v>
      </c>
      <c r="BX478">
        <v>20</v>
      </c>
      <c r="BY478">
        <v>39.914160000000003</v>
      </c>
      <c r="BZ478">
        <v>0.81167999999999996</v>
      </c>
      <c r="CA478">
        <v>20</v>
      </c>
      <c r="CB478" t="s">
        <v>113</v>
      </c>
      <c r="CC478" t="s">
        <v>1126</v>
      </c>
    </row>
    <row r="479" spans="1:81" x14ac:dyDescent="0.25">
      <c r="A479" t="s">
        <v>81</v>
      </c>
      <c r="B479">
        <v>478</v>
      </c>
      <c r="C479">
        <v>97</v>
      </c>
      <c r="D479">
        <v>85</v>
      </c>
      <c r="E479">
        <v>97</v>
      </c>
      <c r="F479">
        <v>98</v>
      </c>
      <c r="G479">
        <v>278</v>
      </c>
      <c r="H479">
        <v>375</v>
      </c>
      <c r="J479" t="s">
        <v>338</v>
      </c>
      <c r="L479" t="s">
        <v>1119</v>
      </c>
      <c r="M479" t="s">
        <v>85</v>
      </c>
      <c r="O479" t="s">
        <v>14</v>
      </c>
      <c r="P479" t="s">
        <v>1120</v>
      </c>
      <c r="Q479" t="s">
        <v>1121</v>
      </c>
      <c r="R479">
        <v>2016</v>
      </c>
      <c r="S479" t="s">
        <v>158</v>
      </c>
      <c r="U479" t="s">
        <v>1122</v>
      </c>
      <c r="V479" t="s">
        <v>1123</v>
      </c>
      <c r="W479" t="s">
        <v>170</v>
      </c>
      <c r="X479" t="s">
        <v>171</v>
      </c>
      <c r="Y479" t="s">
        <v>1006</v>
      </c>
      <c r="Z479" t="s">
        <v>1007</v>
      </c>
      <c r="AA479" t="s">
        <v>1008</v>
      </c>
      <c r="AB479" t="s">
        <v>1009</v>
      </c>
      <c r="AC479" t="s">
        <v>1010</v>
      </c>
      <c r="AD479" t="s">
        <v>98</v>
      </c>
      <c r="AE479" t="s">
        <v>177</v>
      </c>
      <c r="AF479" t="s">
        <v>100</v>
      </c>
      <c r="AG479" t="s">
        <v>261</v>
      </c>
      <c r="AH479" t="s">
        <v>262</v>
      </c>
      <c r="AI479" t="s">
        <v>103</v>
      </c>
      <c r="AJ479" t="s">
        <v>104</v>
      </c>
      <c r="AK479">
        <v>14</v>
      </c>
      <c r="AL479">
        <v>25</v>
      </c>
      <c r="AM479" t="s">
        <v>263</v>
      </c>
      <c r="AN479" t="s">
        <v>106</v>
      </c>
      <c r="AO479">
        <v>55.945127777800003</v>
      </c>
      <c r="AP479">
        <v>10.2125861111</v>
      </c>
      <c r="AQ479">
        <v>18</v>
      </c>
      <c r="AR479" t="s">
        <v>179</v>
      </c>
      <c r="AS479">
        <v>2010</v>
      </c>
      <c r="AV479">
        <v>14</v>
      </c>
      <c r="AW479" t="s">
        <v>269</v>
      </c>
      <c r="AX479">
        <v>20</v>
      </c>
      <c r="AY479" t="s">
        <v>134</v>
      </c>
      <c r="AZ479" t="s">
        <v>109</v>
      </c>
      <c r="BA479" t="s">
        <v>180</v>
      </c>
      <c r="BB479">
        <v>15</v>
      </c>
      <c r="BC479">
        <v>25</v>
      </c>
      <c r="BE479" t="s">
        <v>139</v>
      </c>
      <c r="BG479">
        <v>0.1</v>
      </c>
      <c r="BP479">
        <v>12</v>
      </c>
      <c r="BS479" t="s">
        <v>1124</v>
      </c>
      <c r="BU479" t="s">
        <v>1152</v>
      </c>
      <c r="BV479">
        <v>39.817810000000001</v>
      </c>
      <c r="BW479">
        <v>0.37202000000000002</v>
      </c>
      <c r="BX479">
        <v>20</v>
      </c>
      <c r="BY479">
        <v>39.97345</v>
      </c>
      <c r="BZ479">
        <v>0.3382</v>
      </c>
      <c r="CA479">
        <v>20</v>
      </c>
      <c r="CB479" t="s">
        <v>113</v>
      </c>
      <c r="CC479" t="s">
        <v>1126</v>
      </c>
    </row>
    <row r="480" spans="1:81" x14ac:dyDescent="0.25">
      <c r="A480" t="s">
        <v>81</v>
      </c>
      <c r="B480">
        <v>479</v>
      </c>
      <c r="C480">
        <v>97</v>
      </c>
      <c r="D480">
        <v>85</v>
      </c>
      <c r="E480">
        <v>97</v>
      </c>
      <c r="F480">
        <v>98</v>
      </c>
      <c r="G480">
        <v>279</v>
      </c>
      <c r="H480">
        <v>376</v>
      </c>
      <c r="J480" t="s">
        <v>338</v>
      </c>
      <c r="L480" t="s">
        <v>1119</v>
      </c>
      <c r="M480" t="s">
        <v>85</v>
      </c>
      <c r="O480" t="s">
        <v>14</v>
      </c>
      <c r="P480" t="s">
        <v>1120</v>
      </c>
      <c r="Q480" t="s">
        <v>1121</v>
      </c>
      <c r="R480">
        <v>2016</v>
      </c>
      <c r="S480" t="s">
        <v>158</v>
      </c>
      <c r="U480" t="s">
        <v>1122</v>
      </c>
      <c r="V480" t="s">
        <v>1123</v>
      </c>
      <c r="W480" t="s">
        <v>170</v>
      </c>
      <c r="X480" t="s">
        <v>171</v>
      </c>
      <c r="Y480" t="s">
        <v>1006</v>
      </c>
      <c r="Z480" t="s">
        <v>1007</v>
      </c>
      <c r="AA480" t="s">
        <v>1008</v>
      </c>
      <c r="AB480" t="s">
        <v>1009</v>
      </c>
      <c r="AC480" t="s">
        <v>1010</v>
      </c>
      <c r="AD480" t="s">
        <v>98</v>
      </c>
      <c r="AE480" t="s">
        <v>177</v>
      </c>
      <c r="AF480" t="s">
        <v>100</v>
      </c>
      <c r="AG480" t="s">
        <v>261</v>
      </c>
      <c r="AH480" t="s">
        <v>262</v>
      </c>
      <c r="AI480" t="s">
        <v>103</v>
      </c>
      <c r="AJ480" t="s">
        <v>104</v>
      </c>
      <c r="AK480">
        <v>16</v>
      </c>
      <c r="AL480">
        <v>25</v>
      </c>
      <c r="AM480" t="s">
        <v>263</v>
      </c>
      <c r="AN480" t="s">
        <v>106</v>
      </c>
      <c r="AO480">
        <v>55.945127777800003</v>
      </c>
      <c r="AP480">
        <v>10.2125861111</v>
      </c>
      <c r="AQ480">
        <v>18</v>
      </c>
      <c r="AR480" t="s">
        <v>179</v>
      </c>
      <c r="AS480">
        <v>2010</v>
      </c>
      <c r="AV480">
        <v>16</v>
      </c>
      <c r="AW480" t="s">
        <v>269</v>
      </c>
      <c r="AX480">
        <v>20</v>
      </c>
      <c r="AY480" t="s">
        <v>134</v>
      </c>
      <c r="AZ480" t="s">
        <v>109</v>
      </c>
      <c r="BA480" t="s">
        <v>180</v>
      </c>
      <c r="BB480">
        <v>15</v>
      </c>
      <c r="BC480">
        <v>25</v>
      </c>
      <c r="BE480" t="s">
        <v>139</v>
      </c>
      <c r="BG480">
        <v>0.1</v>
      </c>
      <c r="BP480">
        <v>12</v>
      </c>
      <c r="BS480" t="s">
        <v>1124</v>
      </c>
      <c r="BU480" t="s">
        <v>1153</v>
      </c>
      <c r="BV480">
        <v>39.862279999999998</v>
      </c>
      <c r="BW480">
        <v>0.82859000000000005</v>
      </c>
      <c r="BX480">
        <v>20</v>
      </c>
      <c r="BY480">
        <v>40.151310000000002</v>
      </c>
      <c r="BZ480">
        <v>0.47348000000000001</v>
      </c>
      <c r="CA480">
        <v>20</v>
      </c>
      <c r="CB480" t="s">
        <v>113</v>
      </c>
      <c r="CC480" t="s">
        <v>1126</v>
      </c>
    </row>
    <row r="481" spans="1:81" x14ac:dyDescent="0.25">
      <c r="A481" t="s">
        <v>81</v>
      </c>
      <c r="B481">
        <v>480</v>
      </c>
      <c r="C481">
        <v>97</v>
      </c>
      <c r="D481">
        <v>85</v>
      </c>
      <c r="E481">
        <v>97</v>
      </c>
      <c r="F481">
        <v>98</v>
      </c>
      <c r="G481">
        <v>280</v>
      </c>
      <c r="H481">
        <v>377</v>
      </c>
      <c r="J481" t="s">
        <v>338</v>
      </c>
      <c r="L481" t="s">
        <v>1119</v>
      </c>
      <c r="M481" t="s">
        <v>85</v>
      </c>
      <c r="O481" t="s">
        <v>14</v>
      </c>
      <c r="P481" t="s">
        <v>1120</v>
      </c>
      <c r="Q481" t="s">
        <v>1121</v>
      </c>
      <c r="R481">
        <v>2016</v>
      </c>
      <c r="S481" t="s">
        <v>158</v>
      </c>
      <c r="U481" t="s">
        <v>1122</v>
      </c>
      <c r="V481" t="s">
        <v>1123</v>
      </c>
      <c r="W481" t="s">
        <v>170</v>
      </c>
      <c r="X481" t="s">
        <v>171</v>
      </c>
      <c r="Y481" t="s">
        <v>1006</v>
      </c>
      <c r="Z481" t="s">
        <v>1007</v>
      </c>
      <c r="AA481" t="s">
        <v>1008</v>
      </c>
      <c r="AB481" t="s">
        <v>1009</v>
      </c>
      <c r="AC481" t="s">
        <v>1010</v>
      </c>
      <c r="AD481" t="s">
        <v>98</v>
      </c>
      <c r="AE481" t="s">
        <v>177</v>
      </c>
      <c r="AF481" t="s">
        <v>100</v>
      </c>
      <c r="AG481" t="s">
        <v>261</v>
      </c>
      <c r="AH481" t="s">
        <v>262</v>
      </c>
      <c r="AI481" t="s">
        <v>103</v>
      </c>
      <c r="AJ481" t="s">
        <v>104</v>
      </c>
      <c r="AK481">
        <v>18</v>
      </c>
      <c r="AL481">
        <v>25</v>
      </c>
      <c r="AM481" t="s">
        <v>263</v>
      </c>
      <c r="AN481" t="s">
        <v>106</v>
      </c>
      <c r="AO481">
        <v>55.945127777800003</v>
      </c>
      <c r="AP481">
        <v>10.2125861111</v>
      </c>
      <c r="AQ481">
        <v>18</v>
      </c>
      <c r="AR481" t="s">
        <v>179</v>
      </c>
      <c r="AS481">
        <v>2010</v>
      </c>
      <c r="AV481">
        <v>18</v>
      </c>
      <c r="AW481" t="s">
        <v>269</v>
      </c>
      <c r="AX481">
        <v>20</v>
      </c>
      <c r="AY481" t="s">
        <v>134</v>
      </c>
      <c r="AZ481" t="s">
        <v>109</v>
      </c>
      <c r="BA481" t="s">
        <v>180</v>
      </c>
      <c r="BB481">
        <v>15</v>
      </c>
      <c r="BC481">
        <v>25</v>
      </c>
      <c r="BE481" t="s">
        <v>139</v>
      </c>
      <c r="BG481">
        <v>0.1</v>
      </c>
      <c r="BP481">
        <v>12</v>
      </c>
      <c r="BS481" t="s">
        <v>1124</v>
      </c>
      <c r="BU481" t="s">
        <v>1154</v>
      </c>
      <c r="BV481">
        <v>39.336089999999999</v>
      </c>
      <c r="BW481">
        <v>5.0730002000000001</v>
      </c>
      <c r="BX481">
        <v>20</v>
      </c>
      <c r="BY481">
        <v>39.721469999999997</v>
      </c>
      <c r="BZ481">
        <v>2.6041401</v>
      </c>
      <c r="CA481">
        <v>20</v>
      </c>
      <c r="CB481" t="s">
        <v>113</v>
      </c>
      <c r="CC481" t="s">
        <v>1126</v>
      </c>
    </row>
    <row r="482" spans="1:81" x14ac:dyDescent="0.25">
      <c r="A482" t="s">
        <v>81</v>
      </c>
      <c r="B482">
        <v>481</v>
      </c>
      <c r="C482">
        <v>97</v>
      </c>
      <c r="D482">
        <v>85</v>
      </c>
      <c r="E482">
        <v>97</v>
      </c>
      <c r="F482">
        <v>98</v>
      </c>
      <c r="G482">
        <v>281</v>
      </c>
      <c r="H482">
        <v>378</v>
      </c>
      <c r="J482" t="s">
        <v>338</v>
      </c>
      <c r="L482" t="s">
        <v>1119</v>
      </c>
      <c r="M482" t="s">
        <v>85</v>
      </c>
      <c r="O482" t="s">
        <v>14</v>
      </c>
      <c r="P482" t="s">
        <v>1120</v>
      </c>
      <c r="Q482" t="s">
        <v>1121</v>
      </c>
      <c r="R482">
        <v>2016</v>
      </c>
      <c r="S482" t="s">
        <v>158</v>
      </c>
      <c r="U482" t="s">
        <v>1122</v>
      </c>
      <c r="V482" t="s">
        <v>1123</v>
      </c>
      <c r="W482" t="s">
        <v>170</v>
      </c>
      <c r="X482" t="s">
        <v>171</v>
      </c>
      <c r="Y482" t="s">
        <v>1006</v>
      </c>
      <c r="Z482" t="s">
        <v>1007</v>
      </c>
      <c r="AA482" t="s">
        <v>1008</v>
      </c>
      <c r="AB482" t="s">
        <v>1009</v>
      </c>
      <c r="AC482" t="s">
        <v>1010</v>
      </c>
      <c r="AD482" t="s">
        <v>98</v>
      </c>
      <c r="AE482" t="s">
        <v>177</v>
      </c>
      <c r="AF482" t="s">
        <v>100</v>
      </c>
      <c r="AG482" t="s">
        <v>261</v>
      </c>
      <c r="AH482" t="s">
        <v>262</v>
      </c>
      <c r="AI482" t="s">
        <v>103</v>
      </c>
      <c r="AJ482" t="s">
        <v>104</v>
      </c>
      <c r="AK482">
        <v>20</v>
      </c>
      <c r="AL482">
        <v>25</v>
      </c>
      <c r="AM482" t="s">
        <v>263</v>
      </c>
      <c r="AN482" t="s">
        <v>106</v>
      </c>
      <c r="AO482">
        <v>55.945127777800003</v>
      </c>
      <c r="AP482">
        <v>10.2125861111</v>
      </c>
      <c r="AQ482">
        <v>18</v>
      </c>
      <c r="AR482" t="s">
        <v>179</v>
      </c>
      <c r="AS482">
        <v>2010</v>
      </c>
      <c r="AV482">
        <v>20</v>
      </c>
      <c r="AW482" t="s">
        <v>269</v>
      </c>
      <c r="AX482">
        <v>20</v>
      </c>
      <c r="AY482" t="s">
        <v>134</v>
      </c>
      <c r="AZ482" t="s">
        <v>109</v>
      </c>
      <c r="BA482" t="s">
        <v>180</v>
      </c>
      <c r="BB482">
        <v>15</v>
      </c>
      <c r="BC482">
        <v>25</v>
      </c>
      <c r="BE482" t="s">
        <v>139</v>
      </c>
      <c r="BG482">
        <v>0.1</v>
      </c>
      <c r="BP482">
        <v>12</v>
      </c>
      <c r="BS482" t="s">
        <v>1124</v>
      </c>
      <c r="BU482" t="s">
        <v>1155</v>
      </c>
      <c r="BV482">
        <v>39.180459999999997</v>
      </c>
      <c r="BW482">
        <v>0.64258000000000004</v>
      </c>
      <c r="BX482">
        <v>20</v>
      </c>
      <c r="BY482">
        <v>38.550510000000003</v>
      </c>
      <c r="BZ482">
        <v>1.7586401</v>
      </c>
      <c r="CA482">
        <v>20</v>
      </c>
      <c r="CB482" t="s">
        <v>113</v>
      </c>
      <c r="CC482" t="s">
        <v>1126</v>
      </c>
    </row>
    <row r="483" spans="1:81" x14ac:dyDescent="0.25">
      <c r="A483" t="s">
        <v>81</v>
      </c>
      <c r="B483">
        <v>482</v>
      </c>
      <c r="C483">
        <v>97</v>
      </c>
      <c r="D483">
        <v>85</v>
      </c>
      <c r="E483">
        <v>97</v>
      </c>
      <c r="F483">
        <v>98</v>
      </c>
      <c r="G483">
        <v>282</v>
      </c>
      <c r="H483">
        <v>379</v>
      </c>
      <c r="J483" t="s">
        <v>338</v>
      </c>
      <c r="L483" t="s">
        <v>1119</v>
      </c>
      <c r="M483" t="s">
        <v>85</v>
      </c>
      <c r="O483" t="s">
        <v>14</v>
      </c>
      <c r="P483" t="s">
        <v>1120</v>
      </c>
      <c r="Q483" t="s">
        <v>1121</v>
      </c>
      <c r="R483">
        <v>2016</v>
      </c>
      <c r="S483" t="s">
        <v>158</v>
      </c>
      <c r="U483" t="s">
        <v>1122</v>
      </c>
      <c r="V483" t="s">
        <v>1123</v>
      </c>
      <c r="W483" t="s">
        <v>170</v>
      </c>
      <c r="X483" t="s">
        <v>171</v>
      </c>
      <c r="Y483" t="s">
        <v>1006</v>
      </c>
      <c r="Z483" t="s">
        <v>1007</v>
      </c>
      <c r="AA483" t="s">
        <v>1008</v>
      </c>
      <c r="AB483" t="s">
        <v>1009</v>
      </c>
      <c r="AC483" t="s">
        <v>1010</v>
      </c>
      <c r="AD483" t="s">
        <v>98</v>
      </c>
      <c r="AE483" t="s">
        <v>177</v>
      </c>
      <c r="AF483" t="s">
        <v>100</v>
      </c>
      <c r="AG483" t="s">
        <v>261</v>
      </c>
      <c r="AH483" t="s">
        <v>262</v>
      </c>
      <c r="AI483" t="s">
        <v>103</v>
      </c>
      <c r="AJ483" t="s">
        <v>104</v>
      </c>
      <c r="AK483">
        <v>22</v>
      </c>
      <c r="AL483">
        <v>25</v>
      </c>
      <c r="AM483" t="s">
        <v>263</v>
      </c>
      <c r="AN483" t="s">
        <v>106</v>
      </c>
      <c r="AO483">
        <v>55.945127777800003</v>
      </c>
      <c r="AP483">
        <v>10.2125861111</v>
      </c>
      <c r="AQ483">
        <v>18</v>
      </c>
      <c r="AR483" t="s">
        <v>179</v>
      </c>
      <c r="AS483">
        <v>2010</v>
      </c>
      <c r="AV483">
        <v>22</v>
      </c>
      <c r="AW483" t="s">
        <v>269</v>
      </c>
      <c r="AX483">
        <v>20</v>
      </c>
      <c r="AY483" t="s">
        <v>134</v>
      </c>
      <c r="AZ483" t="s">
        <v>109</v>
      </c>
      <c r="BA483" t="s">
        <v>180</v>
      </c>
      <c r="BB483">
        <v>15</v>
      </c>
      <c r="BC483">
        <v>25</v>
      </c>
      <c r="BE483" t="s">
        <v>139</v>
      </c>
      <c r="BG483">
        <v>0.1</v>
      </c>
      <c r="BP483">
        <v>12</v>
      </c>
      <c r="BS483" t="s">
        <v>1124</v>
      </c>
      <c r="BU483" t="s">
        <v>1156</v>
      </c>
      <c r="BV483">
        <v>39.343499999999999</v>
      </c>
      <c r="BW483">
        <v>1.8770100999999999</v>
      </c>
      <c r="BX483">
        <v>20</v>
      </c>
      <c r="BY483">
        <v>39.484310000000001</v>
      </c>
      <c r="BZ483">
        <v>1.5049901000000001</v>
      </c>
      <c r="CA483">
        <v>20</v>
      </c>
      <c r="CB483" t="s">
        <v>113</v>
      </c>
      <c r="CC483" t="s">
        <v>1126</v>
      </c>
    </row>
    <row r="484" spans="1:81" x14ac:dyDescent="0.25">
      <c r="A484" t="s">
        <v>81</v>
      </c>
      <c r="B484">
        <v>483</v>
      </c>
      <c r="C484">
        <v>97</v>
      </c>
      <c r="D484">
        <v>85</v>
      </c>
      <c r="E484">
        <v>97</v>
      </c>
      <c r="F484">
        <v>98</v>
      </c>
      <c r="G484">
        <v>283</v>
      </c>
      <c r="H484">
        <v>380</v>
      </c>
      <c r="J484" t="s">
        <v>338</v>
      </c>
      <c r="L484" t="s">
        <v>1119</v>
      </c>
      <c r="M484" t="s">
        <v>85</v>
      </c>
      <c r="O484" t="s">
        <v>14</v>
      </c>
      <c r="P484" t="s">
        <v>1120</v>
      </c>
      <c r="Q484" t="s">
        <v>1121</v>
      </c>
      <c r="R484">
        <v>2016</v>
      </c>
      <c r="S484" t="s">
        <v>158</v>
      </c>
      <c r="U484" t="s">
        <v>1122</v>
      </c>
      <c r="V484" t="s">
        <v>1123</v>
      </c>
      <c r="W484" t="s">
        <v>170</v>
      </c>
      <c r="X484" t="s">
        <v>171</v>
      </c>
      <c r="Y484" t="s">
        <v>1006</v>
      </c>
      <c r="Z484" t="s">
        <v>1007</v>
      </c>
      <c r="AA484" t="s">
        <v>1008</v>
      </c>
      <c r="AB484" t="s">
        <v>1009</v>
      </c>
      <c r="AC484" t="s">
        <v>1010</v>
      </c>
      <c r="AD484" t="s">
        <v>98</v>
      </c>
      <c r="AE484" t="s">
        <v>177</v>
      </c>
      <c r="AF484" t="s">
        <v>100</v>
      </c>
      <c r="AG484" t="s">
        <v>261</v>
      </c>
      <c r="AH484" t="s">
        <v>262</v>
      </c>
      <c r="AI484" t="s">
        <v>103</v>
      </c>
      <c r="AJ484" t="s">
        <v>104</v>
      </c>
      <c r="AK484">
        <v>24</v>
      </c>
      <c r="AL484">
        <v>25</v>
      </c>
      <c r="AM484" t="s">
        <v>263</v>
      </c>
      <c r="AN484" t="s">
        <v>106</v>
      </c>
      <c r="AO484">
        <v>55.945127777800003</v>
      </c>
      <c r="AP484">
        <v>10.2125861111</v>
      </c>
      <c r="AQ484">
        <v>18</v>
      </c>
      <c r="AR484" t="s">
        <v>179</v>
      </c>
      <c r="AS484">
        <v>2010</v>
      </c>
      <c r="AV484">
        <v>24</v>
      </c>
      <c r="AW484" t="s">
        <v>269</v>
      </c>
      <c r="AX484">
        <v>20</v>
      </c>
      <c r="AY484" t="s">
        <v>134</v>
      </c>
      <c r="AZ484" t="s">
        <v>109</v>
      </c>
      <c r="BA484" t="s">
        <v>180</v>
      </c>
      <c r="BB484">
        <v>15</v>
      </c>
      <c r="BC484">
        <v>25</v>
      </c>
      <c r="BE484" t="s">
        <v>139</v>
      </c>
      <c r="BG484">
        <v>0.1</v>
      </c>
      <c r="BH484" s="14"/>
      <c r="BP484">
        <v>12</v>
      </c>
      <c r="BS484" t="s">
        <v>1124</v>
      </c>
      <c r="BU484" t="s">
        <v>1157</v>
      </c>
      <c r="BV484">
        <v>38.980359999999997</v>
      </c>
      <c r="BW484">
        <v>4.3966000999999997</v>
      </c>
      <c r="BX484">
        <v>20</v>
      </c>
      <c r="BY484">
        <v>36.912649999999999</v>
      </c>
      <c r="BZ484">
        <v>4.3063729999999998</v>
      </c>
      <c r="CA484">
        <v>20</v>
      </c>
      <c r="CB484" t="s">
        <v>113</v>
      </c>
      <c r="CC484" t="s">
        <v>1158</v>
      </c>
    </row>
    <row r="485" spans="1:81" x14ac:dyDescent="0.25">
      <c r="A485" t="s">
        <v>81</v>
      </c>
      <c r="B485">
        <v>484</v>
      </c>
      <c r="C485">
        <v>98</v>
      </c>
      <c r="D485">
        <v>41</v>
      </c>
      <c r="E485">
        <v>98</v>
      </c>
      <c r="F485">
        <v>99</v>
      </c>
      <c r="G485">
        <v>284</v>
      </c>
      <c r="H485">
        <v>381</v>
      </c>
      <c r="I485" t="s">
        <v>490</v>
      </c>
      <c r="J485" t="s">
        <v>83</v>
      </c>
      <c r="K485" s="3" t="s">
        <v>1159</v>
      </c>
      <c r="M485" t="s">
        <v>85</v>
      </c>
      <c r="O485" t="s">
        <v>14</v>
      </c>
      <c r="P485" t="s">
        <v>1160</v>
      </c>
      <c r="Q485" t="s">
        <v>1161</v>
      </c>
      <c r="R485">
        <v>2019</v>
      </c>
      <c r="S485" t="s">
        <v>158</v>
      </c>
      <c r="U485" t="s">
        <v>1162</v>
      </c>
      <c r="V485" t="s">
        <v>1163</v>
      </c>
      <c r="W485" t="s">
        <v>91</v>
      </c>
      <c r="X485" t="s">
        <v>126</v>
      </c>
      <c r="Y485" t="s">
        <v>434</v>
      </c>
      <c r="Z485" t="s">
        <v>435</v>
      </c>
      <c r="AA485" t="s">
        <v>595</v>
      </c>
      <c r="AB485" t="s">
        <v>596</v>
      </c>
      <c r="AC485" t="s">
        <v>597</v>
      </c>
      <c r="AD485" t="s">
        <v>132</v>
      </c>
      <c r="AE485" t="s">
        <v>133</v>
      </c>
      <c r="AF485" t="s">
        <v>100</v>
      </c>
      <c r="AG485" t="s">
        <v>102</v>
      </c>
      <c r="AH485" t="s">
        <v>102</v>
      </c>
      <c r="AI485" t="s">
        <v>103</v>
      </c>
      <c r="AJ485" t="s">
        <v>135</v>
      </c>
      <c r="AK485">
        <f>((109+117)/2)-3</f>
        <v>110</v>
      </c>
      <c r="AL485">
        <v>28.5</v>
      </c>
      <c r="AM485" t="s">
        <v>229</v>
      </c>
      <c r="AN485" t="s">
        <v>106</v>
      </c>
      <c r="AR485" t="s">
        <v>439</v>
      </c>
      <c r="AT485">
        <f>(36.974+36.95455)/2</f>
        <v>36.964275000000001</v>
      </c>
      <c r="AU485">
        <f>(2.057727+2.0029)/2</f>
        <v>2.0303135000000001</v>
      </c>
      <c r="AV485">
        <f t="shared" ref="AV485:AV492" si="21">(109+117)/2</f>
        <v>113</v>
      </c>
      <c r="AW485" t="s">
        <v>264</v>
      </c>
      <c r="AX485">
        <v>28.5</v>
      </c>
      <c r="AY485" t="s">
        <v>134</v>
      </c>
      <c r="AZ485" t="s">
        <v>109</v>
      </c>
      <c r="BA485" t="s">
        <v>138</v>
      </c>
      <c r="BB485">
        <v>28.5</v>
      </c>
      <c r="BC485">
        <v>30.5</v>
      </c>
      <c r="BE485" t="s">
        <v>139</v>
      </c>
      <c r="BF485">
        <v>3</v>
      </c>
      <c r="BG485">
        <f t="shared" ref="BG485:BG492" si="22">0.5/30</f>
        <v>1.6666666666666666E-2</v>
      </c>
      <c r="BP485">
        <v>12</v>
      </c>
      <c r="BR485" t="s">
        <v>69</v>
      </c>
      <c r="BS485" t="s">
        <v>265</v>
      </c>
      <c r="BU485" t="s">
        <v>1164</v>
      </c>
      <c r="BV485">
        <v>37.08182</v>
      </c>
      <c r="BW485">
        <v>0.1662419</v>
      </c>
      <c r="BX485">
        <v>11</v>
      </c>
      <c r="BY485">
        <v>37.06</v>
      </c>
      <c r="BZ485">
        <v>0.2366432</v>
      </c>
      <c r="CA485">
        <v>10</v>
      </c>
      <c r="CB485" t="s">
        <v>113</v>
      </c>
      <c r="CC485" t="s">
        <v>1165</v>
      </c>
    </row>
    <row r="486" spans="1:81" x14ac:dyDescent="0.25">
      <c r="A486" t="s">
        <v>81</v>
      </c>
      <c r="B486">
        <v>485</v>
      </c>
      <c r="C486">
        <v>98</v>
      </c>
      <c r="D486">
        <v>41</v>
      </c>
      <c r="E486">
        <v>98</v>
      </c>
      <c r="F486">
        <v>99</v>
      </c>
      <c r="G486">
        <v>284</v>
      </c>
      <c r="H486">
        <v>382</v>
      </c>
      <c r="I486" t="s">
        <v>490</v>
      </c>
      <c r="J486" t="s">
        <v>83</v>
      </c>
      <c r="K486" s="3" t="s">
        <v>1159</v>
      </c>
      <c r="M486" t="s">
        <v>85</v>
      </c>
      <c r="O486" t="s">
        <v>14</v>
      </c>
      <c r="P486" t="s">
        <v>1160</v>
      </c>
      <c r="Q486" t="s">
        <v>1161</v>
      </c>
      <c r="R486">
        <v>2019</v>
      </c>
      <c r="S486" t="s">
        <v>158</v>
      </c>
      <c r="U486" t="s">
        <v>1162</v>
      </c>
      <c r="V486" t="s">
        <v>1163</v>
      </c>
      <c r="W486" t="s">
        <v>91</v>
      </c>
      <c r="X486" t="s">
        <v>126</v>
      </c>
      <c r="Y486" t="s">
        <v>434</v>
      </c>
      <c r="Z486" t="s">
        <v>435</v>
      </c>
      <c r="AA486" t="s">
        <v>595</v>
      </c>
      <c r="AB486" t="s">
        <v>596</v>
      </c>
      <c r="AC486" t="s">
        <v>597</v>
      </c>
      <c r="AD486" t="s">
        <v>132</v>
      </c>
      <c r="AE486" t="s">
        <v>133</v>
      </c>
      <c r="AF486" t="s">
        <v>100</v>
      </c>
      <c r="AG486" t="s">
        <v>102</v>
      </c>
      <c r="AH486" t="s">
        <v>102</v>
      </c>
      <c r="AI486" t="s">
        <v>103</v>
      </c>
      <c r="AJ486" t="s">
        <v>135</v>
      </c>
      <c r="AK486">
        <f>((109+117)/2)-7</f>
        <v>106</v>
      </c>
      <c r="AL486">
        <v>28.5</v>
      </c>
      <c r="AM486" t="s">
        <v>229</v>
      </c>
      <c r="AN486" t="s">
        <v>106</v>
      </c>
      <c r="AR486" t="s">
        <v>439</v>
      </c>
      <c r="AT486">
        <f>(36.95455+36.475)/2</f>
        <v>36.714775000000003</v>
      </c>
      <c r="AU486">
        <f>(1.964125+2.057727)/2</f>
        <v>2.010926</v>
      </c>
      <c r="AV486">
        <f t="shared" si="21"/>
        <v>113</v>
      </c>
      <c r="AW486" t="s">
        <v>264</v>
      </c>
      <c r="AX486">
        <v>28.5</v>
      </c>
      <c r="AY486" t="s">
        <v>134</v>
      </c>
      <c r="AZ486" t="s">
        <v>109</v>
      </c>
      <c r="BA486" t="s">
        <v>138</v>
      </c>
      <c r="BB486">
        <v>28.5</v>
      </c>
      <c r="BC486">
        <v>30.5</v>
      </c>
      <c r="BE486" t="s">
        <v>139</v>
      </c>
      <c r="BF486">
        <v>7</v>
      </c>
      <c r="BG486">
        <f t="shared" si="22"/>
        <v>1.6666666666666666E-2</v>
      </c>
      <c r="BP486">
        <v>12</v>
      </c>
      <c r="BR486" t="s">
        <v>69</v>
      </c>
      <c r="BS486" t="s">
        <v>265</v>
      </c>
      <c r="BU486" t="s">
        <v>1164</v>
      </c>
      <c r="BV486">
        <v>37.08182</v>
      </c>
      <c r="BW486">
        <v>0.1662419</v>
      </c>
      <c r="BX486">
        <v>11</v>
      </c>
      <c r="BY486">
        <v>36.825000000000003</v>
      </c>
      <c r="BZ486">
        <v>0.29154760000000002</v>
      </c>
      <c r="CA486">
        <v>8</v>
      </c>
      <c r="CB486" t="s">
        <v>113</v>
      </c>
      <c r="CC486" t="s">
        <v>1165</v>
      </c>
    </row>
    <row r="487" spans="1:81" x14ac:dyDescent="0.25">
      <c r="A487" t="s">
        <v>81</v>
      </c>
      <c r="B487">
        <v>486</v>
      </c>
      <c r="C487">
        <v>98</v>
      </c>
      <c r="D487">
        <v>41</v>
      </c>
      <c r="E487">
        <v>98</v>
      </c>
      <c r="F487">
        <v>99</v>
      </c>
      <c r="G487">
        <v>284</v>
      </c>
      <c r="H487">
        <v>383</v>
      </c>
      <c r="I487" t="s">
        <v>490</v>
      </c>
      <c r="J487" t="s">
        <v>83</v>
      </c>
      <c r="K487" s="3" t="s">
        <v>1159</v>
      </c>
      <c r="M487" t="s">
        <v>85</v>
      </c>
      <c r="O487" t="s">
        <v>14</v>
      </c>
      <c r="P487" t="s">
        <v>1160</v>
      </c>
      <c r="Q487" t="s">
        <v>1161</v>
      </c>
      <c r="R487">
        <v>2019</v>
      </c>
      <c r="S487" t="s">
        <v>158</v>
      </c>
      <c r="U487" t="s">
        <v>1162</v>
      </c>
      <c r="V487" t="s">
        <v>1163</v>
      </c>
      <c r="W487" t="s">
        <v>91</v>
      </c>
      <c r="X487" t="s">
        <v>126</v>
      </c>
      <c r="Y487" t="s">
        <v>434</v>
      </c>
      <c r="Z487" t="s">
        <v>435</v>
      </c>
      <c r="AA487" t="s">
        <v>595</v>
      </c>
      <c r="AB487" t="s">
        <v>596</v>
      </c>
      <c r="AC487" t="s">
        <v>597</v>
      </c>
      <c r="AD487" t="s">
        <v>132</v>
      </c>
      <c r="AE487" t="s">
        <v>133</v>
      </c>
      <c r="AF487" t="s">
        <v>100</v>
      </c>
      <c r="AG487" t="s">
        <v>102</v>
      </c>
      <c r="AH487" t="s">
        <v>102</v>
      </c>
      <c r="AI487" t="s">
        <v>103</v>
      </c>
      <c r="AJ487" t="s">
        <v>135</v>
      </c>
      <c r="AK487">
        <f>((109+117)/2)-30</f>
        <v>83</v>
      </c>
      <c r="AL487">
        <v>28.5</v>
      </c>
      <c r="AM487" t="s">
        <v>229</v>
      </c>
      <c r="AN487" t="s">
        <v>106</v>
      </c>
      <c r="AR487" t="s">
        <v>439</v>
      </c>
      <c r="AT487">
        <f>(36.95455+36.82)/2</f>
        <v>36.887275000000002</v>
      </c>
      <c r="AU487">
        <f>(2.057727+2.000222)/2</f>
        <v>2.0289744999999999</v>
      </c>
      <c r="AV487">
        <f t="shared" si="21"/>
        <v>113</v>
      </c>
      <c r="AW487" t="s">
        <v>264</v>
      </c>
      <c r="AX487">
        <v>28.5</v>
      </c>
      <c r="AY487" t="s">
        <v>134</v>
      </c>
      <c r="AZ487" t="s">
        <v>109</v>
      </c>
      <c r="BA487" t="s">
        <v>138</v>
      </c>
      <c r="BB487">
        <v>28.5</v>
      </c>
      <c r="BC487">
        <v>30.5</v>
      </c>
      <c r="BE487" t="s">
        <v>139</v>
      </c>
      <c r="BF487">
        <v>30</v>
      </c>
      <c r="BG487">
        <f t="shared" si="22"/>
        <v>1.6666666666666666E-2</v>
      </c>
      <c r="BP487">
        <v>12</v>
      </c>
      <c r="BR487" t="s">
        <v>69</v>
      </c>
      <c r="BS487" t="s">
        <v>265</v>
      </c>
      <c r="BU487" t="s">
        <v>1164</v>
      </c>
      <c r="BV487">
        <v>37.08182</v>
      </c>
      <c r="BW487">
        <v>0.1662419</v>
      </c>
      <c r="BX487">
        <v>11</v>
      </c>
      <c r="BY487">
        <v>37.122219999999999</v>
      </c>
      <c r="BZ487">
        <v>0.17159379999999999</v>
      </c>
      <c r="CA487">
        <v>9</v>
      </c>
      <c r="CB487" t="s">
        <v>113</v>
      </c>
      <c r="CC487" t="s">
        <v>1165</v>
      </c>
    </row>
    <row r="488" spans="1:81" x14ac:dyDescent="0.25">
      <c r="A488" t="s">
        <v>81</v>
      </c>
      <c r="B488">
        <v>487</v>
      </c>
      <c r="C488">
        <v>98</v>
      </c>
      <c r="D488">
        <v>41</v>
      </c>
      <c r="E488">
        <v>98</v>
      </c>
      <c r="F488">
        <v>99</v>
      </c>
      <c r="G488">
        <v>284</v>
      </c>
      <c r="H488">
        <v>384</v>
      </c>
      <c r="I488" t="s">
        <v>490</v>
      </c>
      <c r="J488" t="s">
        <v>83</v>
      </c>
      <c r="K488" s="3" t="s">
        <v>1159</v>
      </c>
      <c r="M488" t="s">
        <v>85</v>
      </c>
      <c r="O488" t="s">
        <v>14</v>
      </c>
      <c r="P488" t="s">
        <v>1160</v>
      </c>
      <c r="Q488" t="s">
        <v>1161</v>
      </c>
      <c r="R488">
        <v>2019</v>
      </c>
      <c r="S488" t="s">
        <v>158</v>
      </c>
      <c r="U488" t="s">
        <v>1162</v>
      </c>
      <c r="V488" t="s">
        <v>1163</v>
      </c>
      <c r="W488" t="s">
        <v>91</v>
      </c>
      <c r="X488" t="s">
        <v>126</v>
      </c>
      <c r="Y488" t="s">
        <v>434</v>
      </c>
      <c r="Z488" t="s">
        <v>435</v>
      </c>
      <c r="AA488" t="s">
        <v>595</v>
      </c>
      <c r="AB488" t="s">
        <v>596</v>
      </c>
      <c r="AC488" t="s">
        <v>597</v>
      </c>
      <c r="AD488" t="s">
        <v>132</v>
      </c>
      <c r="AE488" t="s">
        <v>133</v>
      </c>
      <c r="AF488" t="s">
        <v>100</v>
      </c>
      <c r="AG488" t="s">
        <v>102</v>
      </c>
      <c r="AH488" t="s">
        <v>102</v>
      </c>
      <c r="AI488" t="s">
        <v>134</v>
      </c>
      <c r="AJ488" t="s">
        <v>135</v>
      </c>
      <c r="AM488" t="s">
        <v>136</v>
      </c>
      <c r="AN488" t="s">
        <v>106</v>
      </c>
      <c r="AR488" t="s">
        <v>439</v>
      </c>
      <c r="AT488">
        <f>(36.95455+33.80833)/2</f>
        <v>35.381439999999998</v>
      </c>
      <c r="AU488">
        <f>(2.057727+1.626833)/2</f>
        <v>1.8422799999999999</v>
      </c>
      <c r="AV488">
        <f t="shared" si="21"/>
        <v>113</v>
      </c>
      <c r="AW488" t="s">
        <v>264</v>
      </c>
      <c r="AX488">
        <v>28.5</v>
      </c>
      <c r="AY488" t="s">
        <v>134</v>
      </c>
      <c r="AZ488" t="s">
        <v>109</v>
      </c>
      <c r="BA488" t="s">
        <v>138</v>
      </c>
      <c r="BB488">
        <v>28.5</v>
      </c>
      <c r="BC488">
        <v>30.5</v>
      </c>
      <c r="BE488" t="s">
        <v>139</v>
      </c>
      <c r="BF488">
        <f>(109+117)/2</f>
        <v>113</v>
      </c>
      <c r="BG488">
        <f t="shared" si="22"/>
        <v>1.6666666666666666E-2</v>
      </c>
      <c r="BP488">
        <v>12</v>
      </c>
      <c r="BR488" t="s">
        <v>69</v>
      </c>
      <c r="BS488" t="s">
        <v>265</v>
      </c>
      <c r="BU488" t="s">
        <v>1166</v>
      </c>
      <c r="BV488">
        <v>37.08182</v>
      </c>
      <c r="BW488">
        <v>0.1662419</v>
      </c>
      <c r="BX488">
        <v>11</v>
      </c>
      <c r="BY488">
        <v>37.083329999999997</v>
      </c>
      <c r="BZ488">
        <v>0.14668039999999999</v>
      </c>
      <c r="CA488">
        <v>12</v>
      </c>
      <c r="CB488" t="s">
        <v>113</v>
      </c>
      <c r="CC488" t="s">
        <v>1165</v>
      </c>
    </row>
    <row r="489" spans="1:81" x14ac:dyDescent="0.25">
      <c r="A489" t="s">
        <v>81</v>
      </c>
      <c r="B489">
        <v>488</v>
      </c>
      <c r="C489">
        <v>98</v>
      </c>
      <c r="D489">
        <v>41</v>
      </c>
      <c r="E489">
        <v>98</v>
      </c>
      <c r="F489">
        <v>99</v>
      </c>
      <c r="G489">
        <v>284</v>
      </c>
      <c r="H489">
        <v>385</v>
      </c>
      <c r="I489" t="s">
        <v>490</v>
      </c>
      <c r="J489" t="s">
        <v>83</v>
      </c>
      <c r="K489" s="3" t="s">
        <v>1159</v>
      </c>
      <c r="M489" t="s">
        <v>85</v>
      </c>
      <c r="O489" t="s">
        <v>14</v>
      </c>
      <c r="P489" t="s">
        <v>1160</v>
      </c>
      <c r="Q489" t="s">
        <v>1161</v>
      </c>
      <c r="R489">
        <v>2019</v>
      </c>
      <c r="S489" t="s">
        <v>158</v>
      </c>
      <c r="U489" t="s">
        <v>1162</v>
      </c>
      <c r="V489" t="s">
        <v>1163</v>
      </c>
      <c r="W489" t="s">
        <v>91</v>
      </c>
      <c r="X489" t="s">
        <v>126</v>
      </c>
      <c r="Y489" t="s">
        <v>434</v>
      </c>
      <c r="Z489" t="s">
        <v>435</v>
      </c>
      <c r="AA489" t="s">
        <v>595</v>
      </c>
      <c r="AB489" t="s">
        <v>596</v>
      </c>
      <c r="AC489" t="s">
        <v>597</v>
      </c>
      <c r="AD489" t="s">
        <v>132</v>
      </c>
      <c r="AE489" t="s">
        <v>133</v>
      </c>
      <c r="AF489" t="s">
        <v>100</v>
      </c>
      <c r="AG489" t="s">
        <v>102</v>
      </c>
      <c r="AH489" t="s">
        <v>102</v>
      </c>
      <c r="AI489" t="s">
        <v>103</v>
      </c>
      <c r="AJ489" t="s">
        <v>135</v>
      </c>
      <c r="AK489">
        <f>((109+117)/2)-3</f>
        <v>110</v>
      </c>
      <c r="AL489">
        <v>28.5</v>
      </c>
      <c r="AM489" t="s">
        <v>229</v>
      </c>
      <c r="AN489" t="s">
        <v>106</v>
      </c>
      <c r="AR489" t="s">
        <v>439</v>
      </c>
      <c r="AT489">
        <f>(36.47231+36.62286)/2</f>
        <v>36.547584999999998</v>
      </c>
      <c r="AU489">
        <f>(1.900929+1.921692)/2</f>
        <v>1.9113104999999999</v>
      </c>
      <c r="AV489">
        <f t="shared" si="21"/>
        <v>113</v>
      </c>
      <c r="AW489" t="s">
        <v>269</v>
      </c>
      <c r="AX489">
        <v>28.5</v>
      </c>
      <c r="AY489" t="s">
        <v>134</v>
      </c>
      <c r="AZ489" t="s">
        <v>109</v>
      </c>
      <c r="BA489" t="s">
        <v>138</v>
      </c>
      <c r="BB489">
        <v>28.5</v>
      </c>
      <c r="BC489">
        <v>30.5</v>
      </c>
      <c r="BE489" t="s">
        <v>139</v>
      </c>
      <c r="BF489">
        <v>3</v>
      </c>
      <c r="BG489">
        <f t="shared" si="22"/>
        <v>1.6666666666666666E-2</v>
      </c>
      <c r="BP489">
        <v>12</v>
      </c>
      <c r="BR489" t="s">
        <v>69</v>
      </c>
      <c r="BS489" t="s">
        <v>265</v>
      </c>
      <c r="BU489" t="s">
        <v>1164</v>
      </c>
      <c r="BV489">
        <v>37.123080000000002</v>
      </c>
      <c r="BW489">
        <v>0.14806440000000001</v>
      </c>
      <c r="BX489">
        <v>13</v>
      </c>
      <c r="BY489">
        <v>37.078569999999999</v>
      </c>
      <c r="BZ489">
        <v>0.13688049999999999</v>
      </c>
      <c r="CA489">
        <v>14</v>
      </c>
      <c r="CB489" t="s">
        <v>113</v>
      </c>
      <c r="CC489" t="s">
        <v>1165</v>
      </c>
    </row>
    <row r="490" spans="1:81" x14ac:dyDescent="0.25">
      <c r="A490" t="s">
        <v>81</v>
      </c>
      <c r="B490">
        <v>489</v>
      </c>
      <c r="C490">
        <v>98</v>
      </c>
      <c r="D490">
        <v>41</v>
      </c>
      <c r="E490">
        <v>98</v>
      </c>
      <c r="F490">
        <v>99</v>
      </c>
      <c r="G490">
        <v>284</v>
      </c>
      <c r="H490">
        <v>386</v>
      </c>
      <c r="I490" t="s">
        <v>490</v>
      </c>
      <c r="J490" t="s">
        <v>83</v>
      </c>
      <c r="K490" s="3" t="s">
        <v>1159</v>
      </c>
      <c r="M490" t="s">
        <v>85</v>
      </c>
      <c r="O490" t="s">
        <v>14</v>
      </c>
      <c r="P490" t="s">
        <v>1160</v>
      </c>
      <c r="Q490" t="s">
        <v>1161</v>
      </c>
      <c r="R490">
        <v>2019</v>
      </c>
      <c r="S490" t="s">
        <v>158</v>
      </c>
      <c r="U490" t="s">
        <v>1162</v>
      </c>
      <c r="V490" t="s">
        <v>1163</v>
      </c>
      <c r="W490" t="s">
        <v>91</v>
      </c>
      <c r="X490" t="s">
        <v>126</v>
      </c>
      <c r="Y490" t="s">
        <v>434</v>
      </c>
      <c r="Z490" t="s">
        <v>435</v>
      </c>
      <c r="AA490" t="s">
        <v>595</v>
      </c>
      <c r="AB490" t="s">
        <v>596</v>
      </c>
      <c r="AC490" t="s">
        <v>597</v>
      </c>
      <c r="AD490" t="s">
        <v>132</v>
      </c>
      <c r="AE490" t="s">
        <v>133</v>
      </c>
      <c r="AF490" t="s">
        <v>100</v>
      </c>
      <c r="AG490" t="s">
        <v>102</v>
      </c>
      <c r="AH490" t="s">
        <v>102</v>
      </c>
      <c r="AI490" t="s">
        <v>103</v>
      </c>
      <c r="AJ490" t="s">
        <v>135</v>
      </c>
      <c r="AK490">
        <f>((109+117)/2)-7</f>
        <v>106</v>
      </c>
      <c r="AL490">
        <v>28.5</v>
      </c>
      <c r="AM490" t="s">
        <v>229</v>
      </c>
      <c r="AN490" t="s">
        <v>106</v>
      </c>
      <c r="AR490" t="s">
        <v>439</v>
      </c>
      <c r="AT490">
        <f>(36.47231+35.6675)/2</f>
        <v>36.069904999999999</v>
      </c>
      <c r="AU490">
        <f>(1.921692+1.856875)/2</f>
        <v>1.8892834999999999</v>
      </c>
      <c r="AV490">
        <f t="shared" si="21"/>
        <v>113</v>
      </c>
      <c r="AW490" t="s">
        <v>269</v>
      </c>
      <c r="AX490">
        <v>28.5</v>
      </c>
      <c r="AY490" t="s">
        <v>134</v>
      </c>
      <c r="AZ490" t="s">
        <v>109</v>
      </c>
      <c r="BA490" t="s">
        <v>138</v>
      </c>
      <c r="BB490">
        <v>28.5</v>
      </c>
      <c r="BC490">
        <v>30.5</v>
      </c>
      <c r="BE490" t="s">
        <v>139</v>
      </c>
      <c r="BF490">
        <v>7</v>
      </c>
      <c r="BG490">
        <f t="shared" si="22"/>
        <v>1.6666666666666666E-2</v>
      </c>
      <c r="BP490">
        <v>12</v>
      </c>
      <c r="BR490" t="s">
        <v>69</v>
      </c>
      <c r="BS490" t="s">
        <v>265</v>
      </c>
      <c r="BU490" t="s">
        <v>1164</v>
      </c>
      <c r="BV490">
        <v>37.123080000000002</v>
      </c>
      <c r="BW490">
        <v>0.14806440000000001</v>
      </c>
      <c r="BX490">
        <v>13</v>
      </c>
      <c r="BY490">
        <v>37.037500000000001</v>
      </c>
      <c r="BZ490">
        <v>0.1927866</v>
      </c>
      <c r="CA490">
        <v>16</v>
      </c>
      <c r="CB490" t="s">
        <v>113</v>
      </c>
      <c r="CC490" t="s">
        <v>1165</v>
      </c>
    </row>
    <row r="491" spans="1:81" x14ac:dyDescent="0.25">
      <c r="A491" t="s">
        <v>81</v>
      </c>
      <c r="B491">
        <v>490</v>
      </c>
      <c r="C491">
        <v>98</v>
      </c>
      <c r="D491">
        <v>41</v>
      </c>
      <c r="E491">
        <v>98</v>
      </c>
      <c r="F491">
        <v>99</v>
      </c>
      <c r="G491">
        <v>284</v>
      </c>
      <c r="H491">
        <v>387</v>
      </c>
      <c r="I491" t="s">
        <v>490</v>
      </c>
      <c r="J491" t="s">
        <v>83</v>
      </c>
      <c r="K491" s="3" t="s">
        <v>1159</v>
      </c>
      <c r="M491" t="s">
        <v>85</v>
      </c>
      <c r="O491" t="s">
        <v>14</v>
      </c>
      <c r="P491" t="s">
        <v>1160</v>
      </c>
      <c r="Q491" t="s">
        <v>1161</v>
      </c>
      <c r="R491">
        <v>2019</v>
      </c>
      <c r="S491" t="s">
        <v>158</v>
      </c>
      <c r="U491" t="s">
        <v>1162</v>
      </c>
      <c r="V491" t="s">
        <v>1163</v>
      </c>
      <c r="W491" t="s">
        <v>91</v>
      </c>
      <c r="X491" t="s">
        <v>126</v>
      </c>
      <c r="Y491" t="s">
        <v>434</v>
      </c>
      <c r="Z491" t="s">
        <v>435</v>
      </c>
      <c r="AA491" t="s">
        <v>595</v>
      </c>
      <c r="AB491" t="s">
        <v>596</v>
      </c>
      <c r="AC491" t="s">
        <v>597</v>
      </c>
      <c r="AD491" t="s">
        <v>132</v>
      </c>
      <c r="AE491" t="s">
        <v>133</v>
      </c>
      <c r="AF491" t="s">
        <v>100</v>
      </c>
      <c r="AG491" t="s">
        <v>102</v>
      </c>
      <c r="AH491" t="s">
        <v>102</v>
      </c>
      <c r="AI491" t="s">
        <v>103</v>
      </c>
      <c r="AJ491" t="s">
        <v>135</v>
      </c>
      <c r="AK491">
        <f>((109+117)/2)-30</f>
        <v>83</v>
      </c>
      <c r="AL491">
        <v>28.5</v>
      </c>
      <c r="AM491" t="s">
        <v>229</v>
      </c>
      <c r="AN491" t="s">
        <v>106</v>
      </c>
      <c r="AR491" t="s">
        <v>439</v>
      </c>
      <c r="AT491">
        <f>(36.47231+35.80667)/2</f>
        <v>36.139489999999995</v>
      </c>
      <c r="AU491">
        <f>(1.846133+1.921692)/2</f>
        <v>1.8839125000000001</v>
      </c>
      <c r="AV491">
        <f t="shared" si="21"/>
        <v>113</v>
      </c>
      <c r="AW491" t="s">
        <v>269</v>
      </c>
      <c r="AX491">
        <v>28.5</v>
      </c>
      <c r="AY491" t="s">
        <v>134</v>
      </c>
      <c r="AZ491" t="s">
        <v>109</v>
      </c>
      <c r="BA491" t="s">
        <v>138</v>
      </c>
      <c r="BB491">
        <v>28.5</v>
      </c>
      <c r="BC491">
        <v>30.5</v>
      </c>
      <c r="BE491" t="s">
        <v>139</v>
      </c>
      <c r="BF491">
        <v>30</v>
      </c>
      <c r="BG491">
        <f t="shared" si="22"/>
        <v>1.6666666666666666E-2</v>
      </c>
      <c r="BP491">
        <v>12</v>
      </c>
      <c r="BR491" t="s">
        <v>69</v>
      </c>
      <c r="BS491" t="s">
        <v>265</v>
      </c>
      <c r="BU491" t="s">
        <v>1164</v>
      </c>
      <c r="BV491">
        <v>37.123080000000002</v>
      </c>
      <c r="BW491">
        <v>0.14806440000000001</v>
      </c>
      <c r="BX491">
        <v>13</v>
      </c>
      <c r="BY491">
        <v>37.046669999999999</v>
      </c>
      <c r="BZ491">
        <v>6.3994099999999998E-2</v>
      </c>
      <c r="CA491">
        <v>15</v>
      </c>
      <c r="CB491" t="s">
        <v>113</v>
      </c>
      <c r="CC491" t="s">
        <v>1165</v>
      </c>
    </row>
    <row r="492" spans="1:81" x14ac:dyDescent="0.25">
      <c r="A492" t="s">
        <v>81</v>
      </c>
      <c r="B492">
        <v>491</v>
      </c>
      <c r="C492">
        <v>98</v>
      </c>
      <c r="D492">
        <v>41</v>
      </c>
      <c r="E492">
        <v>98</v>
      </c>
      <c r="F492">
        <v>99</v>
      </c>
      <c r="G492">
        <v>284</v>
      </c>
      <c r="H492">
        <v>388</v>
      </c>
      <c r="I492" t="s">
        <v>490</v>
      </c>
      <c r="J492" t="s">
        <v>83</v>
      </c>
      <c r="K492" s="3" t="s">
        <v>1159</v>
      </c>
      <c r="M492" t="s">
        <v>85</v>
      </c>
      <c r="O492" t="s">
        <v>14</v>
      </c>
      <c r="P492" t="s">
        <v>1160</v>
      </c>
      <c r="Q492" t="s">
        <v>1161</v>
      </c>
      <c r="R492">
        <v>2019</v>
      </c>
      <c r="S492" t="s">
        <v>158</v>
      </c>
      <c r="U492" t="s">
        <v>1162</v>
      </c>
      <c r="V492" t="s">
        <v>1163</v>
      </c>
      <c r="W492" t="s">
        <v>91</v>
      </c>
      <c r="X492" t="s">
        <v>126</v>
      </c>
      <c r="Y492" t="s">
        <v>434</v>
      </c>
      <c r="Z492" t="s">
        <v>435</v>
      </c>
      <c r="AA492" t="s">
        <v>595</v>
      </c>
      <c r="AB492" t="s">
        <v>596</v>
      </c>
      <c r="AC492" t="s">
        <v>597</v>
      </c>
      <c r="AD492" t="s">
        <v>132</v>
      </c>
      <c r="AE492" t="s">
        <v>133</v>
      </c>
      <c r="AF492" t="s">
        <v>100</v>
      </c>
      <c r="AG492" t="s">
        <v>102</v>
      </c>
      <c r="AH492" t="s">
        <v>102</v>
      </c>
      <c r="AI492" t="s">
        <v>134</v>
      </c>
      <c r="AJ492" t="s">
        <v>135</v>
      </c>
      <c r="AM492" t="s">
        <v>136</v>
      </c>
      <c r="AN492" t="s">
        <v>106</v>
      </c>
      <c r="AR492" t="s">
        <v>439</v>
      </c>
      <c r="AT492">
        <f>(36.47231+33.24167)/2</f>
        <v>34.856989999999996</v>
      </c>
      <c r="AU492">
        <f>(1.921692+1.553917)/2</f>
        <v>1.7378045</v>
      </c>
      <c r="AV492">
        <f t="shared" si="21"/>
        <v>113</v>
      </c>
      <c r="AW492" t="s">
        <v>269</v>
      </c>
      <c r="AX492">
        <v>28.5</v>
      </c>
      <c r="AY492" t="s">
        <v>134</v>
      </c>
      <c r="AZ492" t="s">
        <v>109</v>
      </c>
      <c r="BA492" t="s">
        <v>138</v>
      </c>
      <c r="BB492">
        <v>28.5</v>
      </c>
      <c r="BC492">
        <v>30.5</v>
      </c>
      <c r="BE492" t="s">
        <v>139</v>
      </c>
      <c r="BF492">
        <f>(109+117)/2</f>
        <v>113</v>
      </c>
      <c r="BG492">
        <f t="shared" si="22"/>
        <v>1.6666666666666666E-2</v>
      </c>
      <c r="BP492">
        <v>12</v>
      </c>
      <c r="BR492" t="s">
        <v>69</v>
      </c>
      <c r="BS492" t="s">
        <v>265</v>
      </c>
      <c r="BU492" t="s">
        <v>1166</v>
      </c>
      <c r="BV492">
        <v>37.123080000000002</v>
      </c>
      <c r="BW492">
        <v>0.14806440000000001</v>
      </c>
      <c r="BX492">
        <v>13</v>
      </c>
      <c r="BY492">
        <v>37.091670000000001</v>
      </c>
      <c r="BZ492">
        <v>0.19286519999999999</v>
      </c>
      <c r="CA492">
        <v>12</v>
      </c>
      <c r="CB492" t="s">
        <v>113</v>
      </c>
      <c r="CC492" t="s">
        <v>1165</v>
      </c>
    </row>
    <row r="493" spans="1:81" x14ac:dyDescent="0.25">
      <c r="A493" t="s">
        <v>81</v>
      </c>
      <c r="B493">
        <v>492</v>
      </c>
      <c r="C493">
        <v>99</v>
      </c>
      <c r="D493">
        <v>94</v>
      </c>
      <c r="E493">
        <v>99</v>
      </c>
      <c r="F493">
        <v>100</v>
      </c>
      <c r="G493">
        <v>285</v>
      </c>
      <c r="H493">
        <v>389</v>
      </c>
      <c r="I493" t="s">
        <v>1167</v>
      </c>
      <c r="J493" t="s">
        <v>1168</v>
      </c>
      <c r="L493" t="s">
        <v>1169</v>
      </c>
      <c r="M493" t="s">
        <v>85</v>
      </c>
      <c r="O493" t="s">
        <v>250</v>
      </c>
      <c r="P493" t="s">
        <v>1170</v>
      </c>
      <c r="Q493" t="s">
        <v>1171</v>
      </c>
      <c r="R493">
        <v>2012</v>
      </c>
      <c r="S493" t="s">
        <v>253</v>
      </c>
      <c r="T493">
        <v>2</v>
      </c>
      <c r="V493" t="s">
        <v>1172</v>
      </c>
      <c r="W493" t="s">
        <v>91</v>
      </c>
      <c r="X493" t="s">
        <v>126</v>
      </c>
      <c r="Y493" t="s">
        <v>190</v>
      </c>
      <c r="Z493" t="s">
        <v>191</v>
      </c>
      <c r="AA493" t="s">
        <v>496</v>
      </c>
      <c r="AB493" t="s">
        <v>1173</v>
      </c>
      <c r="AC493" t="s">
        <v>1174</v>
      </c>
      <c r="AD493" t="s">
        <v>132</v>
      </c>
      <c r="AE493" t="s">
        <v>133</v>
      </c>
      <c r="AF493" t="s">
        <v>100</v>
      </c>
      <c r="AG493" t="s">
        <v>102</v>
      </c>
      <c r="AH493" t="s">
        <v>102</v>
      </c>
      <c r="AI493" t="s">
        <v>134</v>
      </c>
      <c r="AJ493" t="s">
        <v>135</v>
      </c>
      <c r="AM493" t="s">
        <v>136</v>
      </c>
      <c r="AN493" t="s">
        <v>106</v>
      </c>
      <c r="AO493">
        <v>49.8</v>
      </c>
      <c r="AP493">
        <v>-88.549722222200003</v>
      </c>
      <c r="AQ493">
        <v>241</v>
      </c>
      <c r="AT493">
        <f>((11+11.16)/2)*10</f>
        <v>110.8</v>
      </c>
      <c r="AU493">
        <f>(12.52+12.78)/2</f>
        <v>12.649999999999999</v>
      </c>
      <c r="AW493" t="s">
        <v>108</v>
      </c>
      <c r="AZ493" t="s">
        <v>109</v>
      </c>
      <c r="BA493" t="s">
        <v>138</v>
      </c>
      <c r="BB493">
        <f>(8.07+8.17)/2</f>
        <v>8.120000000000001</v>
      </c>
      <c r="BC493">
        <f>(12.65+12.49)/2</f>
        <v>12.57</v>
      </c>
      <c r="BD493">
        <v>1</v>
      </c>
      <c r="BE493" t="s">
        <v>111</v>
      </c>
      <c r="BF493">
        <v>28</v>
      </c>
      <c r="BG493">
        <v>0.33</v>
      </c>
      <c r="BR493" t="s">
        <v>69</v>
      </c>
      <c r="BU493" t="s">
        <v>1175</v>
      </c>
      <c r="BV493">
        <v>27.800370000000001</v>
      </c>
      <c r="BW493">
        <v>0.22796459999999999</v>
      </c>
      <c r="BX493">
        <v>10</v>
      </c>
      <c r="BY493">
        <v>28.454709999999999</v>
      </c>
      <c r="BZ493">
        <v>0.36825049999999998</v>
      </c>
      <c r="CA493">
        <v>10</v>
      </c>
      <c r="CB493" t="s">
        <v>113</v>
      </c>
      <c r="CC493" t="s">
        <v>1176</v>
      </c>
    </row>
    <row r="494" spans="1:81" x14ac:dyDescent="0.25">
      <c r="A494" t="s">
        <v>81</v>
      </c>
      <c r="B494">
        <v>493</v>
      </c>
      <c r="C494">
        <v>99</v>
      </c>
      <c r="D494">
        <v>94</v>
      </c>
      <c r="E494">
        <v>99</v>
      </c>
      <c r="F494">
        <v>100</v>
      </c>
      <c r="G494">
        <v>285</v>
      </c>
      <c r="H494">
        <v>390</v>
      </c>
      <c r="I494" t="s">
        <v>490</v>
      </c>
      <c r="J494" t="s">
        <v>1168</v>
      </c>
      <c r="L494" t="s">
        <v>1169</v>
      </c>
      <c r="M494" t="s">
        <v>85</v>
      </c>
      <c r="O494" t="s">
        <v>250</v>
      </c>
      <c r="P494" t="s">
        <v>1170</v>
      </c>
      <c r="Q494" t="s">
        <v>1171</v>
      </c>
      <c r="R494">
        <v>2012</v>
      </c>
      <c r="S494" t="s">
        <v>253</v>
      </c>
      <c r="T494">
        <v>2</v>
      </c>
      <c r="V494" t="s">
        <v>1172</v>
      </c>
      <c r="W494" t="s">
        <v>91</v>
      </c>
      <c r="X494" t="s">
        <v>126</v>
      </c>
      <c r="Y494" t="s">
        <v>190</v>
      </c>
      <c r="Z494" t="s">
        <v>191</v>
      </c>
      <c r="AA494" t="s">
        <v>496</v>
      </c>
      <c r="AB494" t="s">
        <v>1173</v>
      </c>
      <c r="AC494" t="s">
        <v>1174</v>
      </c>
      <c r="AD494" t="s">
        <v>132</v>
      </c>
      <c r="AE494" t="s">
        <v>133</v>
      </c>
      <c r="AF494" t="s">
        <v>100</v>
      </c>
      <c r="AG494" t="s">
        <v>102</v>
      </c>
      <c r="AH494" t="s">
        <v>102</v>
      </c>
      <c r="AI494" t="s">
        <v>134</v>
      </c>
      <c r="AJ494" t="s">
        <v>135</v>
      </c>
      <c r="AM494" t="s">
        <v>136</v>
      </c>
      <c r="AN494" t="s">
        <v>106</v>
      </c>
      <c r="AO494">
        <v>49.8</v>
      </c>
      <c r="AP494">
        <v>-88.549722222200003</v>
      </c>
      <c r="AQ494">
        <v>241</v>
      </c>
      <c r="AT494">
        <f>((11.16+11.45)/2)*10</f>
        <v>113.05</v>
      </c>
      <c r="AU494">
        <f>(14.26+12.78)/2</f>
        <v>13.52</v>
      </c>
      <c r="AW494" t="s">
        <v>108</v>
      </c>
      <c r="AZ494" t="s">
        <v>109</v>
      </c>
      <c r="BA494" t="s">
        <v>138</v>
      </c>
      <c r="BB494">
        <f>(12.65+12.49)/2</f>
        <v>12.57</v>
      </c>
      <c r="BC494">
        <f>(16.21+16.3)/2</f>
        <v>16.255000000000003</v>
      </c>
      <c r="BD494">
        <v>1</v>
      </c>
      <c r="BE494" t="s">
        <v>111</v>
      </c>
      <c r="BF494">
        <v>28</v>
      </c>
      <c r="BG494">
        <v>0.33</v>
      </c>
      <c r="BR494" t="s">
        <v>69</v>
      </c>
      <c r="BU494" t="s">
        <v>1177</v>
      </c>
      <c r="BV494">
        <v>28.454709999999999</v>
      </c>
      <c r="BW494">
        <v>0.36825049999999998</v>
      </c>
      <c r="BX494">
        <v>10</v>
      </c>
      <c r="BY494">
        <v>29.541589999999999</v>
      </c>
      <c r="BZ494">
        <v>0.2104288</v>
      </c>
      <c r="CA494">
        <v>10</v>
      </c>
      <c r="CB494" t="s">
        <v>113</v>
      </c>
      <c r="CC494" t="s">
        <v>1176</v>
      </c>
    </row>
    <row r="495" spans="1:81" x14ac:dyDescent="0.25">
      <c r="A495" t="s">
        <v>81</v>
      </c>
      <c r="B495">
        <v>494</v>
      </c>
      <c r="C495">
        <v>99</v>
      </c>
      <c r="D495">
        <v>94</v>
      </c>
      <c r="E495">
        <v>99</v>
      </c>
      <c r="F495">
        <v>100</v>
      </c>
      <c r="G495">
        <v>285</v>
      </c>
      <c r="H495">
        <v>391</v>
      </c>
      <c r="I495" t="s">
        <v>490</v>
      </c>
      <c r="J495" t="s">
        <v>1168</v>
      </c>
      <c r="L495" t="s">
        <v>1169</v>
      </c>
      <c r="M495" t="s">
        <v>85</v>
      </c>
      <c r="O495" t="s">
        <v>250</v>
      </c>
      <c r="P495" t="s">
        <v>1170</v>
      </c>
      <c r="Q495" t="s">
        <v>1171</v>
      </c>
      <c r="R495">
        <v>2012</v>
      </c>
      <c r="S495" t="s">
        <v>253</v>
      </c>
      <c r="T495">
        <v>2</v>
      </c>
      <c r="V495" t="s">
        <v>1172</v>
      </c>
      <c r="W495" t="s">
        <v>91</v>
      </c>
      <c r="X495" t="s">
        <v>126</v>
      </c>
      <c r="Y495" t="s">
        <v>190</v>
      </c>
      <c r="Z495" t="s">
        <v>191</v>
      </c>
      <c r="AA495" t="s">
        <v>496</v>
      </c>
      <c r="AB495" t="s">
        <v>1173</v>
      </c>
      <c r="AC495" t="s">
        <v>1174</v>
      </c>
      <c r="AD495" t="s">
        <v>132</v>
      </c>
      <c r="AE495" t="s">
        <v>133</v>
      </c>
      <c r="AF495" t="s">
        <v>100</v>
      </c>
      <c r="AG495" t="s">
        <v>102</v>
      </c>
      <c r="AH495" t="s">
        <v>102</v>
      </c>
      <c r="AI495" t="s">
        <v>134</v>
      </c>
      <c r="AJ495" t="s">
        <v>135</v>
      </c>
      <c r="AM495" t="s">
        <v>136</v>
      </c>
      <c r="AN495" t="s">
        <v>106</v>
      </c>
      <c r="AO495">
        <v>49.8</v>
      </c>
      <c r="AP495">
        <v>-88.549722222200003</v>
      </c>
      <c r="AQ495">
        <v>241</v>
      </c>
      <c r="AT495">
        <f>((11.45+10.86)/2)*10</f>
        <v>111.55</v>
      </c>
      <c r="AU495">
        <f>(14.26+12.45)/2</f>
        <v>13.355</v>
      </c>
      <c r="AW495" t="s">
        <v>108</v>
      </c>
      <c r="AZ495" t="s">
        <v>109</v>
      </c>
      <c r="BA495" t="s">
        <v>138</v>
      </c>
      <c r="BB495">
        <f>(16.21+16.3)/2</f>
        <v>16.255000000000003</v>
      </c>
      <c r="BC495">
        <f>(20.69+20.79)/2</f>
        <v>20.740000000000002</v>
      </c>
      <c r="BD495">
        <v>1</v>
      </c>
      <c r="BE495" t="s">
        <v>111</v>
      </c>
      <c r="BF495">
        <v>28</v>
      </c>
      <c r="BG495">
        <v>0.33</v>
      </c>
      <c r="BR495" t="s">
        <v>69</v>
      </c>
      <c r="BU495" t="s">
        <v>1178</v>
      </c>
      <c r="BV495">
        <v>29.541589999999999</v>
      </c>
      <c r="BW495">
        <v>0.2104288</v>
      </c>
      <c r="BX495">
        <v>10</v>
      </c>
      <c r="BY495">
        <v>29.852129999999999</v>
      </c>
      <c r="BZ495">
        <v>0.29810750000000003</v>
      </c>
      <c r="CA495">
        <v>10</v>
      </c>
      <c r="CB495" t="s">
        <v>113</v>
      </c>
      <c r="CC495" t="s">
        <v>1176</v>
      </c>
    </row>
    <row r="496" spans="1:81" x14ac:dyDescent="0.25">
      <c r="A496" t="s">
        <v>81</v>
      </c>
      <c r="B496">
        <v>495</v>
      </c>
      <c r="C496">
        <v>99</v>
      </c>
      <c r="D496">
        <v>94</v>
      </c>
      <c r="E496">
        <v>100</v>
      </c>
      <c r="F496">
        <v>101</v>
      </c>
      <c r="G496">
        <v>286</v>
      </c>
      <c r="H496">
        <v>392</v>
      </c>
      <c r="I496" t="s">
        <v>490</v>
      </c>
      <c r="J496" t="s">
        <v>1168</v>
      </c>
      <c r="L496" t="s">
        <v>1169</v>
      </c>
      <c r="M496" t="s">
        <v>85</v>
      </c>
      <c r="O496" t="s">
        <v>250</v>
      </c>
      <c r="P496" t="s">
        <v>1170</v>
      </c>
      <c r="Q496" t="s">
        <v>1171</v>
      </c>
      <c r="R496">
        <v>2012</v>
      </c>
      <c r="S496" t="s">
        <v>253</v>
      </c>
      <c r="T496">
        <v>2</v>
      </c>
      <c r="V496" t="s">
        <v>1172</v>
      </c>
      <c r="W496" t="s">
        <v>91</v>
      </c>
      <c r="X496" t="s">
        <v>126</v>
      </c>
      <c r="Y496" t="s">
        <v>190</v>
      </c>
      <c r="Z496" t="s">
        <v>191</v>
      </c>
      <c r="AA496" t="s">
        <v>496</v>
      </c>
      <c r="AB496" t="s">
        <v>1173</v>
      </c>
      <c r="AC496" t="s">
        <v>1174</v>
      </c>
      <c r="AD496" t="s">
        <v>132</v>
      </c>
      <c r="AE496" t="s">
        <v>133</v>
      </c>
      <c r="AF496" t="s">
        <v>100</v>
      </c>
      <c r="AG496" t="s">
        <v>102</v>
      </c>
      <c r="AH496" t="s">
        <v>102</v>
      </c>
      <c r="AI496" t="s">
        <v>134</v>
      </c>
      <c r="AJ496" t="s">
        <v>135</v>
      </c>
      <c r="AM496" t="s">
        <v>136</v>
      </c>
      <c r="AN496" t="s">
        <v>106</v>
      </c>
      <c r="AO496">
        <v>47.737777777799998</v>
      </c>
      <c r="AP496">
        <v>-80.037777777800002</v>
      </c>
      <c r="AQ496">
        <v>252</v>
      </c>
      <c r="AT496">
        <f>((12.16+12.43)/2)*10</f>
        <v>122.95</v>
      </c>
      <c r="AU496">
        <f>(20.14+21.54)/2</f>
        <v>20.84</v>
      </c>
      <c r="AW496" t="s">
        <v>108</v>
      </c>
      <c r="AZ496" t="s">
        <v>109</v>
      </c>
      <c r="BA496" t="s">
        <v>138</v>
      </c>
      <c r="BB496">
        <f>(8.07+8.17)/2</f>
        <v>8.120000000000001</v>
      </c>
      <c r="BC496">
        <f>(12.65+12.49)/2</f>
        <v>12.57</v>
      </c>
      <c r="BD496">
        <v>1</v>
      </c>
      <c r="BE496" t="s">
        <v>111</v>
      </c>
      <c r="BF496">
        <v>28</v>
      </c>
      <c r="BG496">
        <v>0.33</v>
      </c>
      <c r="BR496" t="s">
        <v>69</v>
      </c>
      <c r="BU496" t="s">
        <v>1179</v>
      </c>
      <c r="BV496">
        <v>28.37153</v>
      </c>
      <c r="BW496">
        <v>0.333179</v>
      </c>
      <c r="BX496">
        <v>10</v>
      </c>
      <c r="BY496">
        <v>28.693159999999999</v>
      </c>
      <c r="BZ496">
        <v>0.29810750000000003</v>
      </c>
      <c r="CA496">
        <v>10</v>
      </c>
      <c r="CB496" t="s">
        <v>113</v>
      </c>
      <c r="CC496" t="s">
        <v>1176</v>
      </c>
    </row>
    <row r="497" spans="1:81" x14ac:dyDescent="0.25">
      <c r="A497" t="s">
        <v>81</v>
      </c>
      <c r="B497">
        <v>496</v>
      </c>
      <c r="C497">
        <v>99</v>
      </c>
      <c r="D497">
        <v>94</v>
      </c>
      <c r="E497">
        <v>100</v>
      </c>
      <c r="F497">
        <v>101</v>
      </c>
      <c r="G497">
        <v>286</v>
      </c>
      <c r="H497">
        <v>393</v>
      </c>
      <c r="I497" t="s">
        <v>490</v>
      </c>
      <c r="J497" t="s">
        <v>1168</v>
      </c>
      <c r="L497" t="s">
        <v>1169</v>
      </c>
      <c r="M497" t="s">
        <v>85</v>
      </c>
      <c r="O497" t="s">
        <v>250</v>
      </c>
      <c r="P497" t="s">
        <v>1170</v>
      </c>
      <c r="Q497" t="s">
        <v>1171</v>
      </c>
      <c r="R497">
        <v>2012</v>
      </c>
      <c r="S497" t="s">
        <v>253</v>
      </c>
      <c r="T497">
        <v>2</v>
      </c>
      <c r="V497" t="s">
        <v>1172</v>
      </c>
      <c r="W497" t="s">
        <v>91</v>
      </c>
      <c r="X497" t="s">
        <v>126</v>
      </c>
      <c r="Y497" t="s">
        <v>190</v>
      </c>
      <c r="Z497" t="s">
        <v>191</v>
      </c>
      <c r="AA497" t="s">
        <v>496</v>
      </c>
      <c r="AB497" t="s">
        <v>1173</v>
      </c>
      <c r="AC497" t="s">
        <v>1174</v>
      </c>
      <c r="AD497" t="s">
        <v>132</v>
      </c>
      <c r="AE497" t="s">
        <v>133</v>
      </c>
      <c r="AF497" t="s">
        <v>100</v>
      </c>
      <c r="AG497" t="s">
        <v>102</v>
      </c>
      <c r="AH497" t="s">
        <v>102</v>
      </c>
      <c r="AI497" t="s">
        <v>134</v>
      </c>
      <c r="AJ497" t="s">
        <v>135</v>
      </c>
      <c r="AM497" t="s">
        <v>136</v>
      </c>
      <c r="AN497" t="s">
        <v>106</v>
      </c>
      <c r="AO497">
        <v>47.737777777799998</v>
      </c>
      <c r="AP497">
        <v>-80.037777777800002</v>
      </c>
      <c r="AQ497">
        <v>252</v>
      </c>
      <c r="AT497">
        <f>((13.07+12.43)/2)*10</f>
        <v>127.5</v>
      </c>
      <c r="AU497">
        <f>(24.75+21.54)/2</f>
        <v>23.145</v>
      </c>
      <c r="AW497" t="s">
        <v>108</v>
      </c>
      <c r="AZ497" t="s">
        <v>109</v>
      </c>
      <c r="BA497" t="s">
        <v>138</v>
      </c>
      <c r="BB497">
        <f>(12.65+12.49)/2</f>
        <v>12.57</v>
      </c>
      <c r="BC497">
        <f>(16.21+16.3)/2</f>
        <v>16.255000000000003</v>
      </c>
      <c r="BD497">
        <v>1</v>
      </c>
      <c r="BE497" t="s">
        <v>111</v>
      </c>
      <c r="BF497">
        <v>28</v>
      </c>
      <c r="BG497">
        <v>0.33</v>
      </c>
      <c r="BR497" t="s">
        <v>69</v>
      </c>
      <c r="BU497" t="s">
        <v>1179</v>
      </c>
      <c r="BV497">
        <v>28.693159999999999</v>
      </c>
      <c r="BW497">
        <v>0.29810750000000003</v>
      </c>
      <c r="BX497">
        <v>10</v>
      </c>
      <c r="BY497">
        <v>29.846579999999999</v>
      </c>
      <c r="BZ497">
        <v>0.26303599999999999</v>
      </c>
      <c r="CA497">
        <v>10</v>
      </c>
      <c r="CB497" t="s">
        <v>113</v>
      </c>
      <c r="CC497" t="s">
        <v>1176</v>
      </c>
    </row>
    <row r="498" spans="1:81" x14ac:dyDescent="0.25">
      <c r="A498" t="s">
        <v>81</v>
      </c>
      <c r="B498">
        <v>497</v>
      </c>
      <c r="C498">
        <v>99</v>
      </c>
      <c r="D498">
        <v>94</v>
      </c>
      <c r="E498">
        <v>100</v>
      </c>
      <c r="F498">
        <v>101</v>
      </c>
      <c r="G498">
        <v>286</v>
      </c>
      <c r="H498">
        <v>394</v>
      </c>
      <c r="I498" t="s">
        <v>490</v>
      </c>
      <c r="J498" t="s">
        <v>1168</v>
      </c>
      <c r="L498" t="s">
        <v>1169</v>
      </c>
      <c r="M498" t="s">
        <v>85</v>
      </c>
      <c r="O498" t="s">
        <v>250</v>
      </c>
      <c r="P498" t="s">
        <v>1170</v>
      </c>
      <c r="Q498" t="s">
        <v>1171</v>
      </c>
      <c r="R498">
        <v>2012</v>
      </c>
      <c r="S498" t="s">
        <v>253</v>
      </c>
      <c r="T498">
        <v>2</v>
      </c>
      <c r="V498" t="s">
        <v>1172</v>
      </c>
      <c r="W498" t="s">
        <v>91</v>
      </c>
      <c r="X498" t="s">
        <v>126</v>
      </c>
      <c r="Y498" t="s">
        <v>190</v>
      </c>
      <c r="Z498" t="s">
        <v>191</v>
      </c>
      <c r="AA498" t="s">
        <v>496</v>
      </c>
      <c r="AB498" t="s">
        <v>1173</v>
      </c>
      <c r="AC498" t="s">
        <v>1174</v>
      </c>
      <c r="AD498" t="s">
        <v>132</v>
      </c>
      <c r="AE498" t="s">
        <v>133</v>
      </c>
      <c r="AF498" t="s">
        <v>100</v>
      </c>
      <c r="AG498" t="s">
        <v>102</v>
      </c>
      <c r="AH498" t="s">
        <v>102</v>
      </c>
      <c r="AI498" t="s">
        <v>134</v>
      </c>
      <c r="AJ498" t="s">
        <v>135</v>
      </c>
      <c r="AM498" t="s">
        <v>136</v>
      </c>
      <c r="AN498" t="s">
        <v>106</v>
      </c>
      <c r="AO498">
        <v>47.737777777799998</v>
      </c>
      <c r="AP498">
        <v>-80.037777777800002</v>
      </c>
      <c r="AQ498">
        <v>252</v>
      </c>
      <c r="AT498">
        <f>((13.07+12.74)/2)*10</f>
        <v>129.05000000000001</v>
      </c>
      <c r="AU498">
        <f>(24.75+24.29)/2</f>
        <v>24.52</v>
      </c>
      <c r="AW498" t="s">
        <v>108</v>
      </c>
      <c r="AZ498" t="s">
        <v>109</v>
      </c>
      <c r="BA498" t="s">
        <v>138</v>
      </c>
      <c r="BB498">
        <f>(16.21+16.3)/2</f>
        <v>16.255000000000003</v>
      </c>
      <c r="BC498">
        <f>(20.69+20.79)/2</f>
        <v>20.740000000000002</v>
      </c>
      <c r="BD498">
        <v>1</v>
      </c>
      <c r="BE498" t="s">
        <v>111</v>
      </c>
      <c r="BF498">
        <v>28</v>
      </c>
      <c r="BG498">
        <v>0.33</v>
      </c>
      <c r="BR498" t="s">
        <v>69</v>
      </c>
      <c r="BU498" t="s">
        <v>1179</v>
      </c>
      <c r="BV498">
        <v>29.846579999999999</v>
      </c>
      <c r="BW498">
        <v>0.26303599999999999</v>
      </c>
      <c r="BX498">
        <v>10</v>
      </c>
      <c r="BY498">
        <v>30.351199999999999</v>
      </c>
      <c r="BZ498">
        <v>0.31564320000000001</v>
      </c>
      <c r="CA498">
        <v>10</v>
      </c>
      <c r="CB498" t="s">
        <v>113</v>
      </c>
      <c r="CC498" t="s">
        <v>1176</v>
      </c>
    </row>
    <row r="499" spans="1:81" x14ac:dyDescent="0.25">
      <c r="A499" t="s">
        <v>81</v>
      </c>
      <c r="B499">
        <v>498</v>
      </c>
      <c r="C499">
        <v>99</v>
      </c>
      <c r="D499">
        <v>94</v>
      </c>
      <c r="E499">
        <v>101</v>
      </c>
      <c r="F499">
        <v>102</v>
      </c>
      <c r="G499">
        <v>287</v>
      </c>
      <c r="H499">
        <v>395</v>
      </c>
      <c r="I499" t="s">
        <v>490</v>
      </c>
      <c r="J499" t="s">
        <v>1168</v>
      </c>
      <c r="L499" t="s">
        <v>1169</v>
      </c>
      <c r="M499" t="s">
        <v>85</v>
      </c>
      <c r="O499" t="s">
        <v>250</v>
      </c>
      <c r="P499" t="s">
        <v>1170</v>
      </c>
      <c r="Q499" t="s">
        <v>1171</v>
      </c>
      <c r="R499">
        <v>2012</v>
      </c>
      <c r="S499" t="s">
        <v>253</v>
      </c>
      <c r="T499">
        <v>2</v>
      </c>
      <c r="V499" t="s">
        <v>1172</v>
      </c>
      <c r="W499" t="s">
        <v>91</v>
      </c>
      <c r="X499" t="s">
        <v>126</v>
      </c>
      <c r="Y499" t="s">
        <v>190</v>
      </c>
      <c r="Z499" t="s">
        <v>191</v>
      </c>
      <c r="AA499" t="s">
        <v>496</v>
      </c>
      <c r="AB499" t="s">
        <v>1173</v>
      </c>
      <c r="AC499" t="s">
        <v>1174</v>
      </c>
      <c r="AD499" t="s">
        <v>132</v>
      </c>
      <c r="AE499" t="s">
        <v>133</v>
      </c>
      <c r="AF499" t="s">
        <v>100</v>
      </c>
      <c r="AG499" t="s">
        <v>102</v>
      </c>
      <c r="AH499" t="s">
        <v>102</v>
      </c>
      <c r="AI499" t="s">
        <v>134</v>
      </c>
      <c r="AJ499" t="s">
        <v>135</v>
      </c>
      <c r="AM499" t="s">
        <v>136</v>
      </c>
      <c r="AN499" t="s">
        <v>106</v>
      </c>
      <c r="AO499">
        <v>45.7938888889</v>
      </c>
      <c r="AP499">
        <v>-78.1911111111</v>
      </c>
      <c r="AQ499">
        <v>369</v>
      </c>
      <c r="AT499">
        <f>((11.36+11.42)/2)*10</f>
        <v>113.9</v>
      </c>
      <c r="AU499">
        <f>(13.97+14.6)/2</f>
        <v>14.285</v>
      </c>
      <c r="AW499" t="s">
        <v>108</v>
      </c>
      <c r="AZ499" t="s">
        <v>109</v>
      </c>
      <c r="BA499" t="s">
        <v>138</v>
      </c>
      <c r="BB499">
        <f>(8.07+8.17)/2</f>
        <v>8.120000000000001</v>
      </c>
      <c r="BC499">
        <f>(12.65+12.49)/2</f>
        <v>12.57</v>
      </c>
      <c r="BD499">
        <v>1</v>
      </c>
      <c r="BE499" t="s">
        <v>111</v>
      </c>
      <c r="BF499">
        <v>28</v>
      </c>
      <c r="BG499">
        <v>0.33</v>
      </c>
      <c r="BR499" t="s">
        <v>69</v>
      </c>
      <c r="BU499" t="s">
        <v>1180</v>
      </c>
      <c r="BV499">
        <v>28.049910000000001</v>
      </c>
      <c r="BW499">
        <v>0.31564320000000001</v>
      </c>
      <c r="BX499">
        <v>10</v>
      </c>
      <c r="BY499">
        <v>28.565619999999999</v>
      </c>
      <c r="BZ499">
        <v>0.26303599999999999</v>
      </c>
      <c r="CA499">
        <v>10</v>
      </c>
      <c r="CB499" t="s">
        <v>113</v>
      </c>
      <c r="CC499" t="s">
        <v>1176</v>
      </c>
    </row>
    <row r="500" spans="1:81" x14ac:dyDescent="0.25">
      <c r="A500" t="s">
        <v>81</v>
      </c>
      <c r="B500">
        <v>499</v>
      </c>
      <c r="C500">
        <v>99</v>
      </c>
      <c r="D500">
        <v>94</v>
      </c>
      <c r="E500">
        <v>101</v>
      </c>
      <c r="F500">
        <v>102</v>
      </c>
      <c r="G500">
        <v>287</v>
      </c>
      <c r="H500">
        <v>396</v>
      </c>
      <c r="I500" t="s">
        <v>490</v>
      </c>
      <c r="J500" t="s">
        <v>1168</v>
      </c>
      <c r="L500" t="s">
        <v>1169</v>
      </c>
      <c r="M500" t="s">
        <v>85</v>
      </c>
      <c r="O500" t="s">
        <v>250</v>
      </c>
      <c r="P500" t="s">
        <v>1170</v>
      </c>
      <c r="Q500" t="s">
        <v>1171</v>
      </c>
      <c r="R500">
        <v>2012</v>
      </c>
      <c r="S500" t="s">
        <v>253</v>
      </c>
      <c r="T500">
        <v>2</v>
      </c>
      <c r="V500" t="s">
        <v>1172</v>
      </c>
      <c r="W500" t="s">
        <v>91</v>
      </c>
      <c r="X500" t="s">
        <v>126</v>
      </c>
      <c r="Y500" t="s">
        <v>190</v>
      </c>
      <c r="Z500" t="s">
        <v>191</v>
      </c>
      <c r="AA500" t="s">
        <v>496</v>
      </c>
      <c r="AB500" t="s">
        <v>1173</v>
      </c>
      <c r="AC500" t="s">
        <v>1174</v>
      </c>
      <c r="AD500" t="s">
        <v>132</v>
      </c>
      <c r="AE500" t="s">
        <v>133</v>
      </c>
      <c r="AF500" t="s">
        <v>100</v>
      </c>
      <c r="AG500" t="s">
        <v>102</v>
      </c>
      <c r="AH500" t="s">
        <v>102</v>
      </c>
      <c r="AI500" t="s">
        <v>134</v>
      </c>
      <c r="AJ500" t="s">
        <v>135</v>
      </c>
      <c r="AM500" t="s">
        <v>136</v>
      </c>
      <c r="AN500" t="s">
        <v>106</v>
      </c>
      <c r="AO500">
        <v>45.7938888889</v>
      </c>
      <c r="AP500">
        <v>-78.1911111111</v>
      </c>
      <c r="AQ500">
        <v>369</v>
      </c>
      <c r="AT500">
        <f>((10.85+11.42)/2)*10</f>
        <v>111.35</v>
      </c>
      <c r="AU500">
        <f>(12.14+14.6)/2</f>
        <v>13.370000000000001</v>
      </c>
      <c r="AW500" t="s">
        <v>108</v>
      </c>
      <c r="AZ500" t="s">
        <v>109</v>
      </c>
      <c r="BA500" t="s">
        <v>138</v>
      </c>
      <c r="BB500">
        <f>(12.65+12.49)/2</f>
        <v>12.57</v>
      </c>
      <c r="BC500">
        <f>(16.21+16.3)/2</f>
        <v>16.255000000000003</v>
      </c>
      <c r="BD500">
        <v>1</v>
      </c>
      <c r="BE500" t="s">
        <v>111</v>
      </c>
      <c r="BF500">
        <v>28</v>
      </c>
      <c r="BG500">
        <v>0.33</v>
      </c>
      <c r="BR500" t="s">
        <v>69</v>
      </c>
      <c r="BU500" t="s">
        <v>1180</v>
      </c>
      <c r="BV500">
        <v>28.565619999999999</v>
      </c>
      <c r="BW500">
        <v>0.26303599999999999</v>
      </c>
      <c r="BX500">
        <v>10</v>
      </c>
      <c r="BY500">
        <v>29.558229999999998</v>
      </c>
      <c r="BZ500">
        <v>0.19289310000000001</v>
      </c>
      <c r="CA500">
        <v>10</v>
      </c>
      <c r="CB500" t="s">
        <v>113</v>
      </c>
      <c r="CC500" t="s">
        <v>1176</v>
      </c>
    </row>
    <row r="501" spans="1:81" x14ac:dyDescent="0.25">
      <c r="A501" t="s">
        <v>81</v>
      </c>
      <c r="B501">
        <v>500</v>
      </c>
      <c r="C501">
        <v>99</v>
      </c>
      <c r="D501">
        <v>94</v>
      </c>
      <c r="E501">
        <v>101</v>
      </c>
      <c r="F501">
        <v>102</v>
      </c>
      <c r="G501">
        <v>287</v>
      </c>
      <c r="H501">
        <v>397</v>
      </c>
      <c r="I501" t="s">
        <v>490</v>
      </c>
      <c r="J501" t="s">
        <v>1168</v>
      </c>
      <c r="L501" t="s">
        <v>1169</v>
      </c>
      <c r="M501" t="s">
        <v>85</v>
      </c>
      <c r="O501" t="s">
        <v>250</v>
      </c>
      <c r="P501" t="s">
        <v>1170</v>
      </c>
      <c r="Q501" t="s">
        <v>1171</v>
      </c>
      <c r="R501">
        <v>2012</v>
      </c>
      <c r="S501" t="s">
        <v>253</v>
      </c>
      <c r="T501">
        <v>2</v>
      </c>
      <c r="V501" t="s">
        <v>1172</v>
      </c>
      <c r="W501" t="s">
        <v>91</v>
      </c>
      <c r="X501" t="s">
        <v>126</v>
      </c>
      <c r="Y501" t="s">
        <v>190</v>
      </c>
      <c r="Z501" t="s">
        <v>191</v>
      </c>
      <c r="AA501" t="s">
        <v>496</v>
      </c>
      <c r="AB501" t="s">
        <v>1173</v>
      </c>
      <c r="AC501" t="s">
        <v>1174</v>
      </c>
      <c r="AD501" t="s">
        <v>132</v>
      </c>
      <c r="AE501" t="s">
        <v>133</v>
      </c>
      <c r="AF501" t="s">
        <v>100</v>
      </c>
      <c r="AG501" t="s">
        <v>102</v>
      </c>
      <c r="AH501" t="s">
        <v>102</v>
      </c>
      <c r="AI501" t="s">
        <v>134</v>
      </c>
      <c r="AJ501" t="s">
        <v>135</v>
      </c>
      <c r="AM501" t="s">
        <v>136</v>
      </c>
      <c r="AN501" t="s">
        <v>106</v>
      </c>
      <c r="AO501">
        <v>45.7938888889</v>
      </c>
      <c r="AP501">
        <v>-78.1911111111</v>
      </c>
      <c r="AQ501">
        <v>369</v>
      </c>
      <c r="AT501">
        <f>((10.85+10.72)/2)*10</f>
        <v>107.85</v>
      </c>
      <c r="AU501">
        <f>(12.14+12.51)/2</f>
        <v>12.324999999999999</v>
      </c>
      <c r="AW501" t="s">
        <v>108</v>
      </c>
      <c r="AZ501" t="s">
        <v>109</v>
      </c>
      <c r="BA501" t="s">
        <v>138</v>
      </c>
      <c r="BB501">
        <f>(16.21+16.3)/2</f>
        <v>16.255000000000003</v>
      </c>
      <c r="BC501">
        <f>(20.69+20.79)/2</f>
        <v>20.740000000000002</v>
      </c>
      <c r="BD501">
        <v>1</v>
      </c>
      <c r="BE501" t="s">
        <v>111</v>
      </c>
      <c r="BF501">
        <v>28</v>
      </c>
      <c r="BG501">
        <v>0.33</v>
      </c>
      <c r="BR501" t="s">
        <v>69</v>
      </c>
      <c r="BU501" t="s">
        <v>1180</v>
      </c>
      <c r="BV501">
        <v>29.558229999999998</v>
      </c>
      <c r="BW501">
        <v>0.19289310000000001</v>
      </c>
      <c r="BX501">
        <v>10</v>
      </c>
      <c r="BY501">
        <v>30.279109999999999</v>
      </c>
      <c r="BZ501">
        <v>0.2104288</v>
      </c>
      <c r="CA501">
        <v>10</v>
      </c>
      <c r="CB501" t="s">
        <v>113</v>
      </c>
      <c r="CC501" t="s">
        <v>1176</v>
      </c>
    </row>
    <row r="502" spans="1:81" x14ac:dyDescent="0.25">
      <c r="A502" t="s">
        <v>81</v>
      </c>
      <c r="B502">
        <v>501</v>
      </c>
      <c r="C502">
        <v>101</v>
      </c>
      <c r="D502">
        <v>22</v>
      </c>
      <c r="E502">
        <v>102</v>
      </c>
      <c r="F502">
        <v>103</v>
      </c>
      <c r="G502">
        <v>288</v>
      </c>
      <c r="H502">
        <v>398</v>
      </c>
      <c r="I502" t="s">
        <v>490</v>
      </c>
      <c r="J502" t="s">
        <v>197</v>
      </c>
      <c r="M502" t="s">
        <v>85</v>
      </c>
      <c r="O502" t="s">
        <v>250</v>
      </c>
      <c r="P502" t="s">
        <v>1181</v>
      </c>
      <c r="Q502" t="s">
        <v>1182</v>
      </c>
      <c r="R502">
        <v>2018</v>
      </c>
      <c r="S502" t="s">
        <v>253</v>
      </c>
      <c r="V502" t="s">
        <v>1183</v>
      </c>
      <c r="W502" t="s">
        <v>91</v>
      </c>
      <c r="X502" t="s">
        <v>92</v>
      </c>
      <c r="Y502" t="s">
        <v>345</v>
      </c>
      <c r="Z502" t="s">
        <v>352</v>
      </c>
      <c r="AA502" t="s">
        <v>353</v>
      </c>
      <c r="AB502" t="s">
        <v>354</v>
      </c>
      <c r="AC502" t="s">
        <v>355</v>
      </c>
      <c r="AD502" t="s">
        <v>132</v>
      </c>
      <c r="AE502" t="s">
        <v>99</v>
      </c>
      <c r="AF502" t="s">
        <v>100</v>
      </c>
      <c r="AG502" t="s">
        <v>102</v>
      </c>
      <c r="AH502" t="s">
        <v>102</v>
      </c>
      <c r="AI502" t="s">
        <v>134</v>
      </c>
      <c r="AJ502" t="s">
        <v>135</v>
      </c>
      <c r="AM502" t="s">
        <v>136</v>
      </c>
      <c r="AN502" t="s">
        <v>1184</v>
      </c>
      <c r="AT502">
        <f>3.79237113*10</f>
        <v>37.923711300000001</v>
      </c>
      <c r="AU502">
        <f>11.2494845</f>
        <v>11.249484499999999</v>
      </c>
      <c r="AW502" t="s">
        <v>108</v>
      </c>
      <c r="AX502">
        <v>25</v>
      </c>
      <c r="AY502" t="s">
        <v>103</v>
      </c>
      <c r="AZ502" t="s">
        <v>109</v>
      </c>
      <c r="BA502" t="s">
        <v>1031</v>
      </c>
      <c r="BB502">
        <v>15</v>
      </c>
      <c r="BC502">
        <v>22</v>
      </c>
      <c r="BE502" t="s">
        <v>139</v>
      </c>
      <c r="BF502">
        <v>14</v>
      </c>
      <c r="BG502">
        <v>0.36</v>
      </c>
      <c r="BP502">
        <v>12</v>
      </c>
      <c r="BU502" t="s">
        <v>1185</v>
      </c>
      <c r="BV502">
        <v>41.8</v>
      </c>
      <c r="BW502">
        <v>0.84852810000000001</v>
      </c>
      <c r="BX502">
        <v>8</v>
      </c>
      <c r="BY502">
        <v>43.2</v>
      </c>
      <c r="BZ502">
        <v>0.99498739999999997</v>
      </c>
      <c r="CA502">
        <v>11</v>
      </c>
      <c r="CB502" t="s">
        <v>113</v>
      </c>
      <c r="CC502" t="s">
        <v>770</v>
      </c>
    </row>
    <row r="503" spans="1:81" x14ac:dyDescent="0.25">
      <c r="A503" t="s">
        <v>81</v>
      </c>
      <c r="B503">
        <v>502</v>
      </c>
      <c r="C503">
        <v>101</v>
      </c>
      <c r="D503">
        <v>22</v>
      </c>
      <c r="E503">
        <v>102</v>
      </c>
      <c r="F503">
        <v>103</v>
      </c>
      <c r="G503">
        <v>288</v>
      </c>
      <c r="H503">
        <v>399</v>
      </c>
      <c r="I503" t="s">
        <v>490</v>
      </c>
      <c r="J503" t="s">
        <v>197</v>
      </c>
      <c r="M503" t="s">
        <v>85</v>
      </c>
      <c r="O503" t="s">
        <v>250</v>
      </c>
      <c r="P503" t="s">
        <v>1181</v>
      </c>
      <c r="Q503" t="s">
        <v>1182</v>
      </c>
      <c r="R503">
        <v>2018</v>
      </c>
      <c r="S503" t="s">
        <v>253</v>
      </c>
      <c r="V503" t="s">
        <v>1183</v>
      </c>
      <c r="W503" t="s">
        <v>91</v>
      </c>
      <c r="X503" t="s">
        <v>92</v>
      </c>
      <c r="Y503" t="s">
        <v>345</v>
      </c>
      <c r="Z503" t="s">
        <v>352</v>
      </c>
      <c r="AA503" t="s">
        <v>353</v>
      </c>
      <c r="AB503" t="s">
        <v>354</v>
      </c>
      <c r="AC503" t="s">
        <v>355</v>
      </c>
      <c r="AD503" t="s">
        <v>132</v>
      </c>
      <c r="AE503" t="s">
        <v>99</v>
      </c>
      <c r="AF503" t="s">
        <v>100</v>
      </c>
      <c r="AG503" t="s">
        <v>102</v>
      </c>
      <c r="AH503" t="s">
        <v>102</v>
      </c>
      <c r="AI503" t="s">
        <v>134</v>
      </c>
      <c r="AJ503" t="s">
        <v>135</v>
      </c>
      <c r="AM503" t="s">
        <v>136</v>
      </c>
      <c r="AN503" t="s">
        <v>1184</v>
      </c>
      <c r="AT503">
        <f>3.79237113*10</f>
        <v>37.923711300000001</v>
      </c>
      <c r="AU503">
        <f>11.2494845</f>
        <v>11.249484499999999</v>
      </c>
      <c r="AW503" t="s">
        <v>108</v>
      </c>
      <c r="AX503">
        <v>25</v>
      </c>
      <c r="AY503" t="s">
        <v>103</v>
      </c>
      <c r="AZ503" t="s">
        <v>109</v>
      </c>
      <c r="BA503" t="s">
        <v>1031</v>
      </c>
      <c r="BB503">
        <v>22</v>
      </c>
      <c r="BC503">
        <v>28</v>
      </c>
      <c r="BE503" t="s">
        <v>139</v>
      </c>
      <c r="BF503">
        <v>14</v>
      </c>
      <c r="BG503">
        <v>0.36</v>
      </c>
      <c r="BP503">
        <v>12</v>
      </c>
      <c r="BU503" t="s">
        <v>1185</v>
      </c>
      <c r="BV503">
        <v>43.2</v>
      </c>
      <c r="BW503">
        <v>0.99498739999999997</v>
      </c>
      <c r="BX503">
        <v>11</v>
      </c>
      <c r="BY503">
        <v>44.1</v>
      </c>
      <c r="BZ503">
        <v>1.3228757</v>
      </c>
      <c r="CA503">
        <v>7</v>
      </c>
      <c r="CB503" t="s">
        <v>113</v>
      </c>
      <c r="CC503" t="s">
        <v>770</v>
      </c>
    </row>
    <row r="504" spans="1:81" x14ac:dyDescent="0.25">
      <c r="A504" t="s">
        <v>81</v>
      </c>
      <c r="B504">
        <v>503</v>
      </c>
      <c r="C504">
        <v>101</v>
      </c>
      <c r="D504">
        <v>22</v>
      </c>
      <c r="E504">
        <v>102</v>
      </c>
      <c r="F504">
        <v>103</v>
      </c>
      <c r="G504">
        <v>288</v>
      </c>
      <c r="H504">
        <v>400</v>
      </c>
      <c r="I504" t="s">
        <v>490</v>
      </c>
      <c r="J504" t="s">
        <v>197</v>
      </c>
      <c r="M504" t="s">
        <v>85</v>
      </c>
      <c r="O504" t="s">
        <v>250</v>
      </c>
      <c r="P504" t="s">
        <v>1181</v>
      </c>
      <c r="Q504" t="s">
        <v>1182</v>
      </c>
      <c r="R504">
        <v>2018</v>
      </c>
      <c r="S504" t="s">
        <v>253</v>
      </c>
      <c r="V504" t="s">
        <v>1183</v>
      </c>
      <c r="W504" t="s">
        <v>91</v>
      </c>
      <c r="X504" t="s">
        <v>92</v>
      </c>
      <c r="Y504" t="s">
        <v>345</v>
      </c>
      <c r="Z504" t="s">
        <v>352</v>
      </c>
      <c r="AA504" t="s">
        <v>353</v>
      </c>
      <c r="AB504" t="s">
        <v>354</v>
      </c>
      <c r="AC504" t="s">
        <v>355</v>
      </c>
      <c r="AD504" t="s">
        <v>132</v>
      </c>
      <c r="AE504" t="s">
        <v>99</v>
      </c>
      <c r="AF504" t="s">
        <v>100</v>
      </c>
      <c r="AG504" t="s">
        <v>102</v>
      </c>
      <c r="AH504" t="s">
        <v>102</v>
      </c>
      <c r="AI504" t="s">
        <v>134</v>
      </c>
      <c r="AJ504" t="s">
        <v>135</v>
      </c>
      <c r="AM504" t="s">
        <v>136</v>
      </c>
      <c r="AN504" t="s">
        <v>1184</v>
      </c>
      <c r="AT504">
        <f>3.79237113*10</f>
        <v>37.923711300000001</v>
      </c>
      <c r="AU504">
        <f>11.2494845</f>
        <v>11.249484499999999</v>
      </c>
      <c r="AW504" t="s">
        <v>108</v>
      </c>
      <c r="AX504">
        <v>25</v>
      </c>
      <c r="AY504" t="s">
        <v>103</v>
      </c>
      <c r="AZ504" t="s">
        <v>109</v>
      </c>
      <c r="BA504" t="s">
        <v>1031</v>
      </c>
      <c r="BB504">
        <v>28</v>
      </c>
      <c r="BC504">
        <v>35</v>
      </c>
      <c r="BE504" t="s">
        <v>139</v>
      </c>
      <c r="BF504">
        <v>14</v>
      </c>
      <c r="BG504">
        <v>0.36</v>
      </c>
      <c r="BP504">
        <v>12</v>
      </c>
      <c r="BU504" t="s">
        <v>1185</v>
      </c>
      <c r="BV504">
        <v>44.1</v>
      </c>
      <c r="BW504">
        <v>1.3228757</v>
      </c>
      <c r="BX504">
        <v>7</v>
      </c>
      <c r="BY504">
        <v>45.7</v>
      </c>
      <c r="BZ504">
        <v>0.69282029999999994</v>
      </c>
      <c r="CA504">
        <v>12</v>
      </c>
      <c r="CB504" t="s">
        <v>113</v>
      </c>
      <c r="CC504" t="s">
        <v>770</v>
      </c>
    </row>
    <row r="505" spans="1:81" x14ac:dyDescent="0.25">
      <c r="A505" t="s">
        <v>81</v>
      </c>
      <c r="B505">
        <v>504</v>
      </c>
      <c r="C505">
        <v>102</v>
      </c>
      <c r="D505">
        <v>96</v>
      </c>
      <c r="E505">
        <v>103</v>
      </c>
      <c r="F505">
        <v>104</v>
      </c>
      <c r="G505">
        <v>289</v>
      </c>
      <c r="H505">
        <v>401</v>
      </c>
      <c r="I505" t="s">
        <v>490</v>
      </c>
      <c r="J505" t="s">
        <v>83</v>
      </c>
      <c r="M505" t="s">
        <v>746</v>
      </c>
      <c r="N505" t="s">
        <v>1186</v>
      </c>
      <c r="O505" t="s">
        <v>14</v>
      </c>
      <c r="P505" t="s">
        <v>1187</v>
      </c>
      <c r="Q505" t="s">
        <v>1188</v>
      </c>
      <c r="R505">
        <v>2006</v>
      </c>
      <c r="S505" t="s">
        <v>158</v>
      </c>
      <c r="U505" t="s">
        <v>1189</v>
      </c>
      <c r="V505" t="s">
        <v>1190</v>
      </c>
      <c r="W505" t="s">
        <v>170</v>
      </c>
      <c r="X505" t="s">
        <v>171</v>
      </c>
      <c r="Y505" t="s">
        <v>1006</v>
      </c>
      <c r="Z505" t="s">
        <v>1191</v>
      </c>
      <c r="AA505" t="s">
        <v>1192</v>
      </c>
      <c r="AB505" t="s">
        <v>1193</v>
      </c>
      <c r="AC505" t="s">
        <v>1194</v>
      </c>
      <c r="AD505" t="s">
        <v>98</v>
      </c>
      <c r="AE505" t="s">
        <v>177</v>
      </c>
      <c r="AF505" t="s">
        <v>100</v>
      </c>
      <c r="AG505" t="s">
        <v>102</v>
      </c>
      <c r="AH505" t="s">
        <v>262</v>
      </c>
      <c r="AI505" t="s">
        <v>103</v>
      </c>
      <c r="AJ505" t="s">
        <v>104</v>
      </c>
      <c r="AK505">
        <f>(12+19)/2</f>
        <v>15.5</v>
      </c>
      <c r="AL505">
        <v>24.8</v>
      </c>
      <c r="AM505" t="s">
        <v>229</v>
      </c>
      <c r="AN505" t="s">
        <v>106</v>
      </c>
      <c r="AW505" t="s">
        <v>108</v>
      </c>
      <c r="AX505">
        <v>24.2</v>
      </c>
      <c r="AY505" t="s">
        <v>134</v>
      </c>
      <c r="AZ505" t="s">
        <v>109</v>
      </c>
      <c r="BA505" t="s">
        <v>1031</v>
      </c>
      <c r="BB505">
        <v>20.5</v>
      </c>
      <c r="BC505">
        <v>24.8</v>
      </c>
      <c r="BD505">
        <f>(1+1)/2</f>
        <v>1</v>
      </c>
      <c r="BE505" t="s">
        <v>111</v>
      </c>
      <c r="BF505">
        <v>6</v>
      </c>
      <c r="BG505">
        <v>0.25</v>
      </c>
      <c r="BL505">
        <v>76</v>
      </c>
      <c r="BS505" t="s">
        <v>265</v>
      </c>
      <c r="BU505" t="s">
        <v>1195</v>
      </c>
      <c r="BV505">
        <v>44.81</v>
      </c>
      <c r="BW505">
        <v>0.2330951</v>
      </c>
      <c r="BX505">
        <v>10</v>
      </c>
      <c r="BY505">
        <v>44.93</v>
      </c>
      <c r="BZ505">
        <v>0.33350000000000002</v>
      </c>
      <c r="CA505">
        <v>10</v>
      </c>
      <c r="CB505" t="s">
        <v>113</v>
      </c>
      <c r="CC505" t="s">
        <v>1045</v>
      </c>
    </row>
    <row r="506" spans="1:81" x14ac:dyDescent="0.25">
      <c r="A506" t="s">
        <v>81</v>
      </c>
      <c r="B506">
        <v>505</v>
      </c>
      <c r="C506">
        <v>102</v>
      </c>
      <c r="D506">
        <v>96</v>
      </c>
      <c r="E506">
        <v>103</v>
      </c>
      <c r="F506">
        <v>104</v>
      </c>
      <c r="G506">
        <v>289</v>
      </c>
      <c r="H506">
        <v>402</v>
      </c>
      <c r="I506" t="s">
        <v>490</v>
      </c>
      <c r="J506" t="s">
        <v>83</v>
      </c>
      <c r="M506" t="s">
        <v>746</v>
      </c>
      <c r="N506" t="s">
        <v>1186</v>
      </c>
      <c r="O506" t="s">
        <v>14</v>
      </c>
      <c r="P506" t="s">
        <v>1187</v>
      </c>
      <c r="Q506" t="s">
        <v>1188</v>
      </c>
      <c r="R506">
        <v>2006</v>
      </c>
      <c r="S506" t="s">
        <v>158</v>
      </c>
      <c r="U506" t="s">
        <v>1189</v>
      </c>
      <c r="V506" t="s">
        <v>1190</v>
      </c>
      <c r="W506" t="s">
        <v>170</v>
      </c>
      <c r="X506" t="s">
        <v>171</v>
      </c>
      <c r="Y506" t="s">
        <v>1006</v>
      </c>
      <c r="Z506" t="s">
        <v>1191</v>
      </c>
      <c r="AA506" t="s">
        <v>1192</v>
      </c>
      <c r="AB506" t="s">
        <v>1193</v>
      </c>
      <c r="AC506" t="s">
        <v>1194</v>
      </c>
      <c r="AD506" t="s">
        <v>98</v>
      </c>
      <c r="AE506" t="s">
        <v>177</v>
      </c>
      <c r="AF506" t="s">
        <v>100</v>
      </c>
      <c r="AG506" t="s">
        <v>102</v>
      </c>
      <c r="AH506" t="s">
        <v>262</v>
      </c>
      <c r="AI506" t="s">
        <v>103</v>
      </c>
      <c r="AJ506" t="s">
        <v>104</v>
      </c>
      <c r="AK506">
        <f>(12+19)/2</f>
        <v>15.5</v>
      </c>
      <c r="AL506">
        <v>24.8</v>
      </c>
      <c r="AM506" t="s">
        <v>229</v>
      </c>
      <c r="AN506" t="s">
        <v>106</v>
      </c>
      <c r="AW506" t="s">
        <v>108</v>
      </c>
      <c r="AX506">
        <v>24.2</v>
      </c>
      <c r="AY506" t="s">
        <v>134</v>
      </c>
      <c r="AZ506" t="s">
        <v>109</v>
      </c>
      <c r="BA506" t="s">
        <v>1031</v>
      </c>
      <c r="BB506">
        <v>24.8</v>
      </c>
      <c r="BC506">
        <v>28</v>
      </c>
      <c r="BD506">
        <f>(0.2+1)/2</f>
        <v>0.6</v>
      </c>
      <c r="BE506" t="s">
        <v>111</v>
      </c>
      <c r="BF506">
        <v>6</v>
      </c>
      <c r="BG506">
        <v>0.25</v>
      </c>
      <c r="BL506">
        <v>76</v>
      </c>
      <c r="BS506" t="s">
        <v>265</v>
      </c>
      <c r="BU506" t="s">
        <v>1196</v>
      </c>
      <c r="BV506">
        <v>44.93</v>
      </c>
      <c r="BW506">
        <v>0.33350000000000002</v>
      </c>
      <c r="BX506">
        <v>10</v>
      </c>
      <c r="BY506">
        <v>44.822220000000002</v>
      </c>
      <c r="BZ506">
        <v>0.2905933</v>
      </c>
      <c r="CA506">
        <v>9</v>
      </c>
      <c r="CB506" t="s">
        <v>113</v>
      </c>
      <c r="CC506" t="s">
        <v>1045</v>
      </c>
    </row>
    <row r="507" spans="1:81" x14ac:dyDescent="0.25">
      <c r="A507" t="s">
        <v>81</v>
      </c>
      <c r="B507">
        <v>506</v>
      </c>
      <c r="C507">
        <v>103</v>
      </c>
      <c r="D507">
        <v>97</v>
      </c>
      <c r="E507">
        <v>104</v>
      </c>
      <c r="F507">
        <v>105</v>
      </c>
      <c r="G507">
        <v>290</v>
      </c>
      <c r="H507">
        <v>403</v>
      </c>
      <c r="I507" t="s">
        <v>1197</v>
      </c>
      <c r="J507" t="s">
        <v>285</v>
      </c>
      <c r="L507" t="s">
        <v>1198</v>
      </c>
      <c r="M507" t="s">
        <v>85</v>
      </c>
      <c r="O507" t="s">
        <v>14</v>
      </c>
      <c r="P507" t="s">
        <v>1199</v>
      </c>
      <c r="Q507" t="s">
        <v>1200</v>
      </c>
      <c r="R507">
        <v>2015</v>
      </c>
      <c r="S507" t="s">
        <v>188</v>
      </c>
      <c r="U507" t="s">
        <v>1201</v>
      </c>
      <c r="V507" t="s">
        <v>1202</v>
      </c>
      <c r="W507" t="s">
        <v>91</v>
      </c>
      <c r="X507" t="s">
        <v>126</v>
      </c>
      <c r="Y507" t="s">
        <v>127</v>
      </c>
      <c r="Z507" t="s">
        <v>1203</v>
      </c>
      <c r="AA507" t="s">
        <v>1204</v>
      </c>
      <c r="AB507" t="s">
        <v>1205</v>
      </c>
      <c r="AC507" t="s">
        <v>1206</v>
      </c>
      <c r="AD507" t="s">
        <v>132</v>
      </c>
      <c r="AE507" t="s">
        <v>133</v>
      </c>
      <c r="AF507" t="s">
        <v>100</v>
      </c>
      <c r="AG507" t="s">
        <v>102</v>
      </c>
      <c r="AH507" t="s">
        <v>102</v>
      </c>
      <c r="AI507" t="s">
        <v>103</v>
      </c>
      <c r="AJ507" t="s">
        <v>135</v>
      </c>
      <c r="AK507">
        <v>1.5</v>
      </c>
      <c r="AL507">
        <v>24</v>
      </c>
      <c r="AM507" t="s">
        <v>229</v>
      </c>
      <c r="AN507" t="s">
        <v>106</v>
      </c>
      <c r="AO507">
        <v>32.638055555599998</v>
      </c>
      <c r="AP507">
        <v>-108.9086111111</v>
      </c>
      <c r="AQ507">
        <v>1329</v>
      </c>
      <c r="AR507" t="s">
        <v>107</v>
      </c>
      <c r="AS507">
        <v>2013</v>
      </c>
      <c r="AV507">
        <v>22</v>
      </c>
      <c r="AW507" t="s">
        <v>108</v>
      </c>
      <c r="AZ507" t="s">
        <v>109</v>
      </c>
      <c r="BA507" t="s">
        <v>110</v>
      </c>
      <c r="BB507">
        <v>20.399999999999999</v>
      </c>
      <c r="BC507">
        <v>21.5</v>
      </c>
      <c r="BE507" t="s">
        <v>139</v>
      </c>
      <c r="BF507">
        <v>22</v>
      </c>
      <c r="BG507">
        <v>0.7</v>
      </c>
      <c r="BU507" t="s">
        <v>1207</v>
      </c>
      <c r="BV507">
        <v>36.066960000000002</v>
      </c>
      <c r="BW507">
        <v>0.4811647</v>
      </c>
      <c r="BX507">
        <v>4</v>
      </c>
      <c r="BY507">
        <v>35.443379999999998</v>
      </c>
      <c r="BZ507">
        <v>0.50820659999999995</v>
      </c>
      <c r="CA507">
        <v>5</v>
      </c>
      <c r="CB507" t="s">
        <v>113</v>
      </c>
      <c r="CC507" t="s">
        <v>1208</v>
      </c>
    </row>
    <row r="508" spans="1:81" x14ac:dyDescent="0.25">
      <c r="A508" t="s">
        <v>81</v>
      </c>
      <c r="B508">
        <v>507</v>
      </c>
      <c r="C508">
        <v>103</v>
      </c>
      <c r="D508">
        <v>97</v>
      </c>
      <c r="E508">
        <v>104</v>
      </c>
      <c r="F508">
        <v>105</v>
      </c>
      <c r="G508">
        <v>290</v>
      </c>
      <c r="H508">
        <v>404</v>
      </c>
      <c r="I508" t="s">
        <v>1197</v>
      </c>
      <c r="J508" t="s">
        <v>285</v>
      </c>
      <c r="L508" t="s">
        <v>1198</v>
      </c>
      <c r="M508" t="s">
        <v>85</v>
      </c>
      <c r="O508" t="s">
        <v>14</v>
      </c>
      <c r="P508" t="s">
        <v>1199</v>
      </c>
      <c r="Q508" t="s">
        <v>1200</v>
      </c>
      <c r="R508">
        <v>2015</v>
      </c>
      <c r="S508" t="s">
        <v>188</v>
      </c>
      <c r="U508" t="s">
        <v>1201</v>
      </c>
      <c r="V508" t="s">
        <v>1202</v>
      </c>
      <c r="W508" t="s">
        <v>91</v>
      </c>
      <c r="X508" t="s">
        <v>126</v>
      </c>
      <c r="Y508" t="s">
        <v>127</v>
      </c>
      <c r="Z508" t="s">
        <v>1203</v>
      </c>
      <c r="AA508" t="s">
        <v>1204</v>
      </c>
      <c r="AB508" t="s">
        <v>1205</v>
      </c>
      <c r="AC508" t="s">
        <v>1206</v>
      </c>
      <c r="AD508" t="s">
        <v>132</v>
      </c>
      <c r="AE508" t="s">
        <v>133</v>
      </c>
      <c r="AF508" t="s">
        <v>100</v>
      </c>
      <c r="AG508" t="s">
        <v>102</v>
      </c>
      <c r="AH508" t="s">
        <v>102</v>
      </c>
      <c r="AI508" t="s">
        <v>103</v>
      </c>
      <c r="AJ508" t="s">
        <v>135</v>
      </c>
      <c r="AK508">
        <v>1.5</v>
      </c>
      <c r="AL508">
        <v>24</v>
      </c>
      <c r="AM508" t="s">
        <v>229</v>
      </c>
      <c r="AN508" t="s">
        <v>106</v>
      </c>
      <c r="AO508">
        <v>32.638055555599998</v>
      </c>
      <c r="AP508">
        <v>-108.9086111111</v>
      </c>
      <c r="AQ508">
        <v>1329</v>
      </c>
      <c r="AR508" t="s">
        <v>107</v>
      </c>
      <c r="AS508">
        <v>2013</v>
      </c>
      <c r="AV508">
        <v>22</v>
      </c>
      <c r="AW508" t="s">
        <v>108</v>
      </c>
      <c r="AZ508" t="s">
        <v>109</v>
      </c>
      <c r="BA508" t="s">
        <v>110</v>
      </c>
      <c r="BB508">
        <v>21.5</v>
      </c>
      <c r="BC508">
        <v>23.1</v>
      </c>
      <c r="BE508" t="s">
        <v>139</v>
      </c>
      <c r="BF508">
        <v>22</v>
      </c>
      <c r="BG508">
        <v>0.7</v>
      </c>
      <c r="BU508" t="s">
        <v>1209</v>
      </c>
      <c r="BV508">
        <v>35.443379999999998</v>
      </c>
      <c r="BW508">
        <v>0.50820659999999995</v>
      </c>
      <c r="BX508">
        <v>5</v>
      </c>
      <c r="BY508">
        <v>35.3048</v>
      </c>
      <c r="BZ508">
        <v>0.7908115</v>
      </c>
      <c r="CA508">
        <v>5</v>
      </c>
      <c r="CB508" t="s">
        <v>113</v>
      </c>
      <c r="CC508" t="s">
        <v>1208</v>
      </c>
    </row>
    <row r="509" spans="1:81" x14ac:dyDescent="0.25">
      <c r="A509" t="s">
        <v>81</v>
      </c>
      <c r="B509">
        <v>508</v>
      </c>
      <c r="C509">
        <v>103</v>
      </c>
      <c r="D509">
        <v>97</v>
      </c>
      <c r="E509">
        <v>104</v>
      </c>
      <c r="F509">
        <v>105</v>
      </c>
      <c r="G509">
        <v>290</v>
      </c>
      <c r="H509">
        <v>405</v>
      </c>
      <c r="I509" t="s">
        <v>1197</v>
      </c>
      <c r="J509" t="s">
        <v>285</v>
      </c>
      <c r="L509" t="s">
        <v>1198</v>
      </c>
      <c r="M509" t="s">
        <v>85</v>
      </c>
      <c r="O509" t="s">
        <v>14</v>
      </c>
      <c r="P509" t="s">
        <v>1199</v>
      </c>
      <c r="Q509" t="s">
        <v>1200</v>
      </c>
      <c r="R509">
        <v>2015</v>
      </c>
      <c r="S509" t="s">
        <v>188</v>
      </c>
      <c r="U509" t="s">
        <v>1201</v>
      </c>
      <c r="V509" t="s">
        <v>1202</v>
      </c>
      <c r="W509" t="s">
        <v>91</v>
      </c>
      <c r="X509" t="s">
        <v>126</v>
      </c>
      <c r="Y509" t="s">
        <v>127</v>
      </c>
      <c r="Z509" t="s">
        <v>1203</v>
      </c>
      <c r="AA509" t="s">
        <v>1204</v>
      </c>
      <c r="AB509" t="s">
        <v>1205</v>
      </c>
      <c r="AC509" t="s">
        <v>1206</v>
      </c>
      <c r="AD509" t="s">
        <v>132</v>
      </c>
      <c r="AE509" t="s">
        <v>133</v>
      </c>
      <c r="AF509" t="s">
        <v>100</v>
      </c>
      <c r="AG509" t="s">
        <v>102</v>
      </c>
      <c r="AH509" t="s">
        <v>102</v>
      </c>
      <c r="AI509" t="s">
        <v>103</v>
      </c>
      <c r="AJ509" t="s">
        <v>135</v>
      </c>
      <c r="AK509">
        <v>1.5</v>
      </c>
      <c r="AL509">
        <v>24</v>
      </c>
      <c r="AM509" t="s">
        <v>229</v>
      </c>
      <c r="AN509" t="s">
        <v>106</v>
      </c>
      <c r="AO509">
        <v>32.638055555599998</v>
      </c>
      <c r="AP509">
        <v>-108.9086111111</v>
      </c>
      <c r="AQ509">
        <v>1329</v>
      </c>
      <c r="AR509" t="s">
        <v>107</v>
      </c>
      <c r="AS509">
        <v>2013</v>
      </c>
      <c r="AV509">
        <v>22</v>
      </c>
      <c r="AW509" t="s">
        <v>108</v>
      </c>
      <c r="AZ509" t="s">
        <v>109</v>
      </c>
      <c r="BA509" t="s">
        <v>110</v>
      </c>
      <c r="BB509">
        <v>23.1</v>
      </c>
      <c r="BC509">
        <v>23.7</v>
      </c>
      <c r="BE509" t="s">
        <v>139</v>
      </c>
      <c r="BF509">
        <v>22</v>
      </c>
      <c r="BG509">
        <v>0.7</v>
      </c>
      <c r="BU509" t="s">
        <v>1209</v>
      </c>
      <c r="BV509">
        <v>35.3048</v>
      </c>
      <c r="BW509">
        <v>0.7908115</v>
      </c>
      <c r="BX509">
        <v>5</v>
      </c>
      <c r="BY509">
        <v>36.645710000000001</v>
      </c>
      <c r="BZ509">
        <v>1.1254232</v>
      </c>
      <c r="CA509">
        <v>5</v>
      </c>
      <c r="CB509" t="s">
        <v>113</v>
      </c>
      <c r="CC509" t="s">
        <v>1208</v>
      </c>
    </row>
    <row r="510" spans="1:81" x14ac:dyDescent="0.25">
      <c r="A510" t="s">
        <v>81</v>
      </c>
      <c r="B510">
        <v>509</v>
      </c>
      <c r="C510">
        <v>103</v>
      </c>
      <c r="D510">
        <v>97</v>
      </c>
      <c r="E510">
        <v>104</v>
      </c>
      <c r="F510">
        <v>105</v>
      </c>
      <c r="G510">
        <v>290</v>
      </c>
      <c r="H510">
        <v>406</v>
      </c>
      <c r="I510" t="s">
        <v>1197</v>
      </c>
      <c r="J510" t="s">
        <v>285</v>
      </c>
      <c r="L510" t="s">
        <v>1198</v>
      </c>
      <c r="M510" t="s">
        <v>85</v>
      </c>
      <c r="O510" t="s">
        <v>14</v>
      </c>
      <c r="P510" t="s">
        <v>1199</v>
      </c>
      <c r="Q510" t="s">
        <v>1200</v>
      </c>
      <c r="R510">
        <v>2015</v>
      </c>
      <c r="S510" t="s">
        <v>188</v>
      </c>
      <c r="U510" t="s">
        <v>1201</v>
      </c>
      <c r="V510" t="s">
        <v>1202</v>
      </c>
      <c r="W510" t="s">
        <v>91</v>
      </c>
      <c r="X510" t="s">
        <v>126</v>
      </c>
      <c r="Y510" t="s">
        <v>127</v>
      </c>
      <c r="Z510" t="s">
        <v>1203</v>
      </c>
      <c r="AA510" t="s">
        <v>1204</v>
      </c>
      <c r="AB510" t="s">
        <v>1205</v>
      </c>
      <c r="AC510" t="s">
        <v>1206</v>
      </c>
      <c r="AD510" t="s">
        <v>132</v>
      </c>
      <c r="AE510" t="s">
        <v>133</v>
      </c>
      <c r="AF510" t="s">
        <v>100</v>
      </c>
      <c r="AG510" t="s">
        <v>102</v>
      </c>
      <c r="AH510" t="s">
        <v>102</v>
      </c>
      <c r="AI510" t="s">
        <v>103</v>
      </c>
      <c r="AJ510" t="s">
        <v>135</v>
      </c>
      <c r="AK510">
        <v>1.5</v>
      </c>
      <c r="AL510">
        <v>24</v>
      </c>
      <c r="AM510" t="s">
        <v>229</v>
      </c>
      <c r="AN510" t="s">
        <v>106</v>
      </c>
      <c r="AO510">
        <v>32.638055555599998</v>
      </c>
      <c r="AP510">
        <v>-108.9086111111</v>
      </c>
      <c r="AQ510">
        <v>1329</v>
      </c>
      <c r="AR510" t="s">
        <v>107</v>
      </c>
      <c r="AS510">
        <v>2013</v>
      </c>
      <c r="AV510">
        <v>22</v>
      </c>
      <c r="AW510" t="s">
        <v>108</v>
      </c>
      <c r="AZ510" t="s">
        <v>109</v>
      </c>
      <c r="BA510" t="s">
        <v>110</v>
      </c>
      <c r="BB510">
        <v>23.7</v>
      </c>
      <c r="BC510">
        <v>25.4</v>
      </c>
      <c r="BE510" t="s">
        <v>139</v>
      </c>
      <c r="BF510">
        <v>22</v>
      </c>
      <c r="BG510">
        <v>0.7</v>
      </c>
      <c r="BU510" t="s">
        <v>1209</v>
      </c>
      <c r="BV510">
        <v>36.645710000000001</v>
      </c>
      <c r="BW510">
        <v>1.1254232</v>
      </c>
      <c r="BX510">
        <v>5</v>
      </c>
      <c r="BY510">
        <v>37.601460000000003</v>
      </c>
      <c r="BZ510">
        <v>0.448708</v>
      </c>
      <c r="CA510">
        <v>5</v>
      </c>
      <c r="CB510" t="s">
        <v>113</v>
      </c>
      <c r="CC510" t="s">
        <v>1208</v>
      </c>
    </row>
    <row r="511" spans="1:81" x14ac:dyDescent="0.25">
      <c r="A511" t="s">
        <v>81</v>
      </c>
      <c r="B511">
        <v>510</v>
      </c>
      <c r="C511">
        <v>103</v>
      </c>
      <c r="D511">
        <v>97</v>
      </c>
      <c r="E511">
        <v>104</v>
      </c>
      <c r="F511">
        <v>105</v>
      </c>
      <c r="G511">
        <v>290</v>
      </c>
      <c r="H511">
        <v>407</v>
      </c>
      <c r="I511" t="s">
        <v>1197</v>
      </c>
      <c r="J511" t="s">
        <v>285</v>
      </c>
      <c r="L511" t="s">
        <v>1198</v>
      </c>
      <c r="M511" t="s">
        <v>85</v>
      </c>
      <c r="O511" t="s">
        <v>14</v>
      </c>
      <c r="P511" t="s">
        <v>1199</v>
      </c>
      <c r="Q511" t="s">
        <v>1200</v>
      </c>
      <c r="R511">
        <v>2015</v>
      </c>
      <c r="S511" t="s">
        <v>188</v>
      </c>
      <c r="U511" t="s">
        <v>1201</v>
      </c>
      <c r="V511" t="s">
        <v>1202</v>
      </c>
      <c r="W511" t="s">
        <v>91</v>
      </c>
      <c r="X511" t="s">
        <v>126</v>
      </c>
      <c r="Y511" t="s">
        <v>127</v>
      </c>
      <c r="Z511" t="s">
        <v>1203</v>
      </c>
      <c r="AA511" t="s">
        <v>1204</v>
      </c>
      <c r="AB511" t="s">
        <v>1205</v>
      </c>
      <c r="AC511" t="s">
        <v>1206</v>
      </c>
      <c r="AD511" t="s">
        <v>132</v>
      </c>
      <c r="AE511" t="s">
        <v>133</v>
      </c>
      <c r="AF511" t="s">
        <v>100</v>
      </c>
      <c r="AG511" t="s">
        <v>102</v>
      </c>
      <c r="AH511" t="s">
        <v>102</v>
      </c>
      <c r="AI511" t="s">
        <v>103</v>
      </c>
      <c r="AJ511" t="s">
        <v>135</v>
      </c>
      <c r="AK511">
        <v>1.5</v>
      </c>
      <c r="AL511">
        <v>24</v>
      </c>
      <c r="AM511" t="s">
        <v>229</v>
      </c>
      <c r="AN511" t="s">
        <v>106</v>
      </c>
      <c r="AO511">
        <v>32.638055555599998</v>
      </c>
      <c r="AP511">
        <v>-108.9086111111</v>
      </c>
      <c r="AQ511">
        <v>1329</v>
      </c>
      <c r="AR511" t="s">
        <v>107</v>
      </c>
      <c r="AS511">
        <v>2013</v>
      </c>
      <c r="AV511">
        <v>22</v>
      </c>
      <c r="AW511" t="s">
        <v>108</v>
      </c>
      <c r="AZ511" t="s">
        <v>109</v>
      </c>
      <c r="BA511" t="s">
        <v>110</v>
      </c>
      <c r="BB511">
        <v>25.4</v>
      </c>
      <c r="BC511">
        <v>26.4</v>
      </c>
      <c r="BE511" t="s">
        <v>139</v>
      </c>
      <c r="BF511">
        <v>22</v>
      </c>
      <c r="BG511">
        <v>0.7</v>
      </c>
      <c r="BU511" t="s">
        <v>1209</v>
      </c>
      <c r="BV511">
        <v>37.601460000000003</v>
      </c>
      <c r="BW511">
        <v>0.448708</v>
      </c>
      <c r="BX511">
        <v>5</v>
      </c>
      <c r="BY511">
        <v>36.831150000000001</v>
      </c>
      <c r="BZ511">
        <v>1.5979718999999999</v>
      </c>
      <c r="CA511">
        <v>5</v>
      </c>
      <c r="CB511" t="s">
        <v>113</v>
      </c>
      <c r="CC511" t="s">
        <v>1208</v>
      </c>
    </row>
    <row r="512" spans="1:81" x14ac:dyDescent="0.25">
      <c r="A512" t="s">
        <v>81</v>
      </c>
      <c r="B512">
        <v>511</v>
      </c>
      <c r="C512">
        <v>103</v>
      </c>
      <c r="D512">
        <v>97</v>
      </c>
      <c r="E512">
        <v>104</v>
      </c>
      <c r="F512">
        <v>105</v>
      </c>
      <c r="G512">
        <v>290</v>
      </c>
      <c r="H512">
        <v>408</v>
      </c>
      <c r="I512" t="s">
        <v>1197</v>
      </c>
      <c r="J512" t="s">
        <v>285</v>
      </c>
      <c r="L512" t="s">
        <v>1198</v>
      </c>
      <c r="M512" t="s">
        <v>85</v>
      </c>
      <c r="O512" t="s">
        <v>14</v>
      </c>
      <c r="P512" t="s">
        <v>1199</v>
      </c>
      <c r="Q512" t="s">
        <v>1200</v>
      </c>
      <c r="R512">
        <v>2015</v>
      </c>
      <c r="S512" t="s">
        <v>188</v>
      </c>
      <c r="U512" t="s">
        <v>1201</v>
      </c>
      <c r="V512" t="s">
        <v>1202</v>
      </c>
      <c r="W512" t="s">
        <v>91</v>
      </c>
      <c r="X512" t="s">
        <v>126</v>
      </c>
      <c r="Y512" t="s">
        <v>127</v>
      </c>
      <c r="Z512" t="s">
        <v>1203</v>
      </c>
      <c r="AA512" t="s">
        <v>1204</v>
      </c>
      <c r="AB512" t="s">
        <v>1205</v>
      </c>
      <c r="AC512" t="s">
        <v>1206</v>
      </c>
      <c r="AD512" t="s">
        <v>132</v>
      </c>
      <c r="AE512" t="s">
        <v>133</v>
      </c>
      <c r="AF512" t="s">
        <v>100</v>
      </c>
      <c r="AG512" t="s">
        <v>102</v>
      </c>
      <c r="AH512" t="s">
        <v>102</v>
      </c>
      <c r="AI512" t="s">
        <v>103</v>
      </c>
      <c r="AJ512" t="s">
        <v>135</v>
      </c>
      <c r="AK512">
        <v>1.5</v>
      </c>
      <c r="AL512">
        <v>24</v>
      </c>
      <c r="AM512" t="s">
        <v>229</v>
      </c>
      <c r="AN512" t="s">
        <v>106</v>
      </c>
      <c r="AO512">
        <v>32.638055555599998</v>
      </c>
      <c r="AP512">
        <v>-108.9086111111</v>
      </c>
      <c r="AQ512">
        <v>1329</v>
      </c>
      <c r="AR512" t="s">
        <v>107</v>
      </c>
      <c r="AS512">
        <v>2013</v>
      </c>
      <c r="AV512">
        <v>22</v>
      </c>
      <c r="AW512" t="s">
        <v>108</v>
      </c>
      <c r="AZ512" t="s">
        <v>109</v>
      </c>
      <c r="BA512" t="s">
        <v>110</v>
      </c>
      <c r="BB512">
        <v>26.4</v>
      </c>
      <c r="BC512">
        <v>28.8</v>
      </c>
      <c r="BE512" t="s">
        <v>139</v>
      </c>
      <c r="BF512">
        <v>22</v>
      </c>
      <c r="BG512">
        <v>0.7</v>
      </c>
      <c r="BU512" t="s">
        <v>1209</v>
      </c>
      <c r="BV512">
        <v>36.831150000000001</v>
      </c>
      <c r="BW512">
        <v>1.5979718999999999</v>
      </c>
      <c r="BX512">
        <v>5</v>
      </c>
      <c r="BY512">
        <v>38.629550000000002</v>
      </c>
      <c r="BZ512">
        <v>0.87850220000000001</v>
      </c>
      <c r="CA512">
        <v>4</v>
      </c>
      <c r="CB512" t="s">
        <v>113</v>
      </c>
      <c r="CC512" t="s">
        <v>1208</v>
      </c>
    </row>
    <row r="513" spans="1:81" x14ac:dyDescent="0.25">
      <c r="A513" t="s">
        <v>81</v>
      </c>
      <c r="B513">
        <v>512</v>
      </c>
      <c r="C513">
        <v>103</v>
      </c>
      <c r="D513">
        <v>97</v>
      </c>
      <c r="E513">
        <v>104</v>
      </c>
      <c r="F513">
        <v>105</v>
      </c>
      <c r="G513">
        <v>290</v>
      </c>
      <c r="H513">
        <v>409</v>
      </c>
      <c r="I513" t="s">
        <v>1197</v>
      </c>
      <c r="J513" t="s">
        <v>285</v>
      </c>
      <c r="L513" t="s">
        <v>1198</v>
      </c>
      <c r="M513" t="s">
        <v>85</v>
      </c>
      <c r="O513" t="s">
        <v>14</v>
      </c>
      <c r="P513" t="s">
        <v>1199</v>
      </c>
      <c r="Q513" t="s">
        <v>1200</v>
      </c>
      <c r="R513">
        <v>2015</v>
      </c>
      <c r="S513" t="s">
        <v>188</v>
      </c>
      <c r="U513" t="s">
        <v>1201</v>
      </c>
      <c r="V513" t="s">
        <v>1202</v>
      </c>
      <c r="W513" t="s">
        <v>91</v>
      </c>
      <c r="X513" t="s">
        <v>126</v>
      </c>
      <c r="Y513" t="s">
        <v>127</v>
      </c>
      <c r="Z513" t="s">
        <v>1203</v>
      </c>
      <c r="AA513" t="s">
        <v>1204</v>
      </c>
      <c r="AB513" t="s">
        <v>1205</v>
      </c>
      <c r="AC513" t="s">
        <v>1206</v>
      </c>
      <c r="AD513" t="s">
        <v>132</v>
      </c>
      <c r="AE513" t="s">
        <v>133</v>
      </c>
      <c r="AF513" t="s">
        <v>100</v>
      </c>
      <c r="AG513" t="s">
        <v>102</v>
      </c>
      <c r="AH513" t="s">
        <v>102</v>
      </c>
      <c r="AI513" t="s">
        <v>103</v>
      </c>
      <c r="AJ513" t="s">
        <v>135</v>
      </c>
      <c r="AK513">
        <v>1.5</v>
      </c>
      <c r="AL513">
        <v>24</v>
      </c>
      <c r="AM513" t="s">
        <v>229</v>
      </c>
      <c r="AN513" t="s">
        <v>106</v>
      </c>
      <c r="AO513">
        <v>32.638055555599998</v>
      </c>
      <c r="AP513">
        <v>-108.9086111111</v>
      </c>
      <c r="AQ513">
        <v>1329</v>
      </c>
      <c r="AR513" t="s">
        <v>107</v>
      </c>
      <c r="AS513">
        <v>2013</v>
      </c>
      <c r="AV513">
        <v>22</v>
      </c>
      <c r="AW513" t="s">
        <v>108</v>
      </c>
      <c r="AZ513" t="s">
        <v>109</v>
      </c>
      <c r="BA513" t="s">
        <v>110</v>
      </c>
      <c r="BB513">
        <v>28.8</v>
      </c>
      <c r="BC513">
        <v>29.4</v>
      </c>
      <c r="BE513" t="s">
        <v>139</v>
      </c>
      <c r="BF513">
        <v>22</v>
      </c>
      <c r="BG513">
        <v>0.7</v>
      </c>
      <c r="BU513" t="s">
        <v>1209</v>
      </c>
      <c r="BV513">
        <v>38.629550000000002</v>
      </c>
      <c r="BW513">
        <v>0.87850220000000001</v>
      </c>
      <c r="BX513">
        <v>4</v>
      </c>
      <c r="BY513">
        <v>38.16798</v>
      </c>
      <c r="BZ513">
        <v>1.6462053999999999</v>
      </c>
      <c r="CA513">
        <v>5</v>
      </c>
      <c r="CB513" t="s">
        <v>113</v>
      </c>
      <c r="CC513" t="s">
        <v>1208</v>
      </c>
    </row>
    <row r="514" spans="1:81" x14ac:dyDescent="0.25">
      <c r="A514" t="s">
        <v>81</v>
      </c>
      <c r="B514">
        <v>513</v>
      </c>
      <c r="C514">
        <v>103</v>
      </c>
      <c r="D514">
        <v>97</v>
      </c>
      <c r="E514">
        <v>104</v>
      </c>
      <c r="F514">
        <v>105</v>
      </c>
      <c r="G514">
        <v>290</v>
      </c>
      <c r="H514">
        <v>410</v>
      </c>
      <c r="I514" t="s">
        <v>1197</v>
      </c>
      <c r="J514" t="s">
        <v>285</v>
      </c>
      <c r="L514" t="s">
        <v>1198</v>
      </c>
      <c r="M514" t="s">
        <v>85</v>
      </c>
      <c r="O514" t="s">
        <v>14</v>
      </c>
      <c r="P514" t="s">
        <v>1199</v>
      </c>
      <c r="Q514" t="s">
        <v>1200</v>
      </c>
      <c r="R514">
        <v>2015</v>
      </c>
      <c r="S514" t="s">
        <v>188</v>
      </c>
      <c r="U514" t="s">
        <v>1201</v>
      </c>
      <c r="V514" t="s">
        <v>1202</v>
      </c>
      <c r="W514" t="s">
        <v>91</v>
      </c>
      <c r="X514" t="s">
        <v>126</v>
      </c>
      <c r="Y514" t="s">
        <v>127</v>
      </c>
      <c r="Z514" t="s">
        <v>1203</v>
      </c>
      <c r="AA514" t="s">
        <v>1204</v>
      </c>
      <c r="AB514" t="s">
        <v>1205</v>
      </c>
      <c r="AC514" t="s">
        <v>1206</v>
      </c>
      <c r="AD514" t="s">
        <v>132</v>
      </c>
      <c r="AE514" t="s">
        <v>133</v>
      </c>
      <c r="AF514" t="s">
        <v>100</v>
      </c>
      <c r="AG514" t="s">
        <v>102</v>
      </c>
      <c r="AH514" t="s">
        <v>102</v>
      </c>
      <c r="AI514" t="s">
        <v>103</v>
      </c>
      <c r="AJ514" t="s">
        <v>135</v>
      </c>
      <c r="AK514">
        <v>1.5</v>
      </c>
      <c r="AL514">
        <v>24</v>
      </c>
      <c r="AM514" t="s">
        <v>229</v>
      </c>
      <c r="AN514" t="s">
        <v>106</v>
      </c>
      <c r="AO514">
        <v>32.638055555599998</v>
      </c>
      <c r="AP514">
        <v>-108.9086111111</v>
      </c>
      <c r="AQ514">
        <v>1329</v>
      </c>
      <c r="AR514" t="s">
        <v>107</v>
      </c>
      <c r="AS514">
        <v>2013</v>
      </c>
      <c r="AV514">
        <v>22</v>
      </c>
      <c r="AW514" t="s">
        <v>108</v>
      </c>
      <c r="AZ514" t="s">
        <v>109</v>
      </c>
      <c r="BA514" t="s">
        <v>110</v>
      </c>
      <c r="BB514">
        <v>29.4</v>
      </c>
      <c r="BC514">
        <v>30.1</v>
      </c>
      <c r="BE514" t="s">
        <v>139</v>
      </c>
      <c r="BF514">
        <v>22</v>
      </c>
      <c r="BG514">
        <v>0.7</v>
      </c>
      <c r="BU514" t="s">
        <v>1209</v>
      </c>
      <c r="BV514">
        <v>38.16798</v>
      </c>
      <c r="BW514">
        <v>1.6462053999999999</v>
      </c>
      <c r="BX514">
        <v>5</v>
      </c>
      <c r="BY514">
        <v>38.960700000000003</v>
      </c>
      <c r="BZ514">
        <v>0.58443909999999999</v>
      </c>
      <c r="CA514">
        <v>5</v>
      </c>
      <c r="CB514" t="s">
        <v>113</v>
      </c>
      <c r="CC514" t="s">
        <v>1208</v>
      </c>
    </row>
    <row r="515" spans="1:81" x14ac:dyDescent="0.25">
      <c r="A515" t="s">
        <v>81</v>
      </c>
      <c r="B515">
        <v>514</v>
      </c>
      <c r="C515">
        <v>103</v>
      </c>
      <c r="D515">
        <v>97</v>
      </c>
      <c r="E515">
        <v>104</v>
      </c>
      <c r="F515">
        <v>105</v>
      </c>
      <c r="G515">
        <v>290</v>
      </c>
      <c r="H515">
        <v>411</v>
      </c>
      <c r="I515" t="s">
        <v>1197</v>
      </c>
      <c r="J515" t="s">
        <v>285</v>
      </c>
      <c r="L515" t="s">
        <v>1198</v>
      </c>
      <c r="M515" t="s">
        <v>85</v>
      </c>
      <c r="O515" t="s">
        <v>14</v>
      </c>
      <c r="P515" t="s">
        <v>1199</v>
      </c>
      <c r="Q515" t="s">
        <v>1200</v>
      </c>
      <c r="R515">
        <v>2015</v>
      </c>
      <c r="S515" t="s">
        <v>188</v>
      </c>
      <c r="U515" t="s">
        <v>1201</v>
      </c>
      <c r="V515" t="s">
        <v>1202</v>
      </c>
      <c r="W515" t="s">
        <v>91</v>
      </c>
      <c r="X515" t="s">
        <v>126</v>
      </c>
      <c r="Y515" t="s">
        <v>127</v>
      </c>
      <c r="Z515" t="s">
        <v>1203</v>
      </c>
      <c r="AA515" t="s">
        <v>1204</v>
      </c>
      <c r="AB515" t="s">
        <v>1205</v>
      </c>
      <c r="AC515" t="s">
        <v>1206</v>
      </c>
      <c r="AD515" t="s">
        <v>132</v>
      </c>
      <c r="AE515" t="s">
        <v>133</v>
      </c>
      <c r="AF515" t="s">
        <v>100</v>
      </c>
      <c r="AG515" t="s">
        <v>102</v>
      </c>
      <c r="AH515" t="s">
        <v>102</v>
      </c>
      <c r="AI515" t="s">
        <v>103</v>
      </c>
      <c r="AJ515" t="s">
        <v>135</v>
      </c>
      <c r="AK515">
        <v>1.5</v>
      </c>
      <c r="AL515">
        <v>24</v>
      </c>
      <c r="AM515" t="s">
        <v>229</v>
      </c>
      <c r="AN515" t="s">
        <v>106</v>
      </c>
      <c r="AO515">
        <v>32.638055555599998</v>
      </c>
      <c r="AP515">
        <v>-108.9086111111</v>
      </c>
      <c r="AQ515">
        <v>1329</v>
      </c>
      <c r="AR515" t="s">
        <v>107</v>
      </c>
      <c r="AS515">
        <v>2013</v>
      </c>
      <c r="AV515">
        <v>22</v>
      </c>
      <c r="AW515" t="s">
        <v>108</v>
      </c>
      <c r="AZ515" t="s">
        <v>109</v>
      </c>
      <c r="BA515" t="s">
        <v>110</v>
      </c>
      <c r="BB515">
        <v>18</v>
      </c>
      <c r="BC515">
        <v>20.399999999999999</v>
      </c>
      <c r="BE515" t="s">
        <v>139</v>
      </c>
      <c r="BF515">
        <v>22</v>
      </c>
      <c r="BG515">
        <v>0.7</v>
      </c>
      <c r="BU515" t="s">
        <v>1210</v>
      </c>
      <c r="BV515">
        <v>34.263460000000002</v>
      </c>
      <c r="BW515">
        <v>0.3173417</v>
      </c>
      <c r="BX515">
        <v>5</v>
      </c>
      <c r="BY515">
        <v>35.516739999999999</v>
      </c>
      <c r="BZ515">
        <v>0.189941</v>
      </c>
      <c r="CA515">
        <v>5</v>
      </c>
      <c r="CB515" t="s">
        <v>113</v>
      </c>
      <c r="CC515" t="s">
        <v>1208</v>
      </c>
    </row>
    <row r="516" spans="1:81" x14ac:dyDescent="0.25">
      <c r="A516" t="s">
        <v>81</v>
      </c>
      <c r="B516">
        <v>515</v>
      </c>
      <c r="C516">
        <v>103</v>
      </c>
      <c r="D516">
        <v>97</v>
      </c>
      <c r="E516">
        <v>105</v>
      </c>
      <c r="F516">
        <v>106</v>
      </c>
      <c r="G516">
        <v>291</v>
      </c>
      <c r="H516">
        <v>412</v>
      </c>
      <c r="I516" t="s">
        <v>1197</v>
      </c>
      <c r="J516" t="s">
        <v>285</v>
      </c>
      <c r="L516" t="s">
        <v>1198</v>
      </c>
      <c r="M516" t="s">
        <v>85</v>
      </c>
      <c r="O516" t="s">
        <v>14</v>
      </c>
      <c r="P516" t="s">
        <v>1199</v>
      </c>
      <c r="Q516" t="s">
        <v>1200</v>
      </c>
      <c r="R516">
        <v>2015</v>
      </c>
      <c r="S516" t="s">
        <v>188</v>
      </c>
      <c r="U516" t="s">
        <v>1201</v>
      </c>
      <c r="V516" t="s">
        <v>1202</v>
      </c>
      <c r="W516" t="s">
        <v>91</v>
      </c>
      <c r="X516" t="s">
        <v>126</v>
      </c>
      <c r="Y516" t="s">
        <v>127</v>
      </c>
      <c r="Z516" t="s">
        <v>1203</v>
      </c>
      <c r="AA516" t="s">
        <v>1204</v>
      </c>
      <c r="AB516" t="s">
        <v>1205</v>
      </c>
      <c r="AC516" t="s">
        <v>1206</v>
      </c>
      <c r="AD516" t="s">
        <v>132</v>
      </c>
      <c r="AE516" t="s">
        <v>133</v>
      </c>
      <c r="AF516" t="s">
        <v>100</v>
      </c>
      <c r="AG516" t="s">
        <v>102</v>
      </c>
      <c r="AH516" t="s">
        <v>102</v>
      </c>
      <c r="AI516" t="s">
        <v>103</v>
      </c>
      <c r="AJ516" t="s">
        <v>135</v>
      </c>
      <c r="AK516">
        <v>1.5</v>
      </c>
      <c r="AL516">
        <v>24</v>
      </c>
      <c r="AM516" t="s">
        <v>229</v>
      </c>
      <c r="AN516" t="s">
        <v>106</v>
      </c>
      <c r="AO516">
        <v>32.6391666667</v>
      </c>
      <c r="AP516">
        <v>-108.92</v>
      </c>
      <c r="AQ516">
        <v>1239</v>
      </c>
      <c r="AR516" t="s">
        <v>107</v>
      </c>
      <c r="AS516">
        <v>2013</v>
      </c>
      <c r="AV516">
        <v>22</v>
      </c>
      <c r="AW516" t="s">
        <v>108</v>
      </c>
      <c r="AZ516" t="s">
        <v>109</v>
      </c>
      <c r="BA516" t="s">
        <v>110</v>
      </c>
      <c r="BB516">
        <v>20.399999999999999</v>
      </c>
      <c r="BC516">
        <v>21.5</v>
      </c>
      <c r="BE516" t="s">
        <v>139</v>
      </c>
      <c r="BF516">
        <v>22</v>
      </c>
      <c r="BG516">
        <v>0.7</v>
      </c>
      <c r="BU516" t="s">
        <v>1210</v>
      </c>
      <c r="BV516">
        <v>35.516739999999999</v>
      </c>
      <c r="BW516">
        <v>0.189941</v>
      </c>
      <c r="BX516">
        <v>5</v>
      </c>
      <c r="BY516">
        <v>35.736829999999998</v>
      </c>
      <c r="BZ516">
        <v>0.3233856</v>
      </c>
      <c r="CA516">
        <v>5</v>
      </c>
      <c r="CB516" t="s">
        <v>113</v>
      </c>
      <c r="CC516" t="s">
        <v>1208</v>
      </c>
    </row>
    <row r="517" spans="1:81" x14ac:dyDescent="0.25">
      <c r="A517" t="s">
        <v>81</v>
      </c>
      <c r="B517">
        <v>516</v>
      </c>
      <c r="C517">
        <v>103</v>
      </c>
      <c r="D517">
        <v>97</v>
      </c>
      <c r="E517">
        <v>105</v>
      </c>
      <c r="F517">
        <v>106</v>
      </c>
      <c r="G517">
        <v>291</v>
      </c>
      <c r="H517">
        <v>413</v>
      </c>
      <c r="I517" t="s">
        <v>1197</v>
      </c>
      <c r="J517" t="s">
        <v>285</v>
      </c>
      <c r="L517" t="s">
        <v>1198</v>
      </c>
      <c r="M517" t="s">
        <v>85</v>
      </c>
      <c r="O517" t="s">
        <v>14</v>
      </c>
      <c r="P517" t="s">
        <v>1199</v>
      </c>
      <c r="Q517" t="s">
        <v>1200</v>
      </c>
      <c r="R517">
        <v>2015</v>
      </c>
      <c r="S517" t="s">
        <v>188</v>
      </c>
      <c r="U517" t="s">
        <v>1201</v>
      </c>
      <c r="V517" t="s">
        <v>1202</v>
      </c>
      <c r="W517" t="s">
        <v>91</v>
      </c>
      <c r="X517" t="s">
        <v>126</v>
      </c>
      <c r="Y517" t="s">
        <v>127</v>
      </c>
      <c r="Z517" t="s">
        <v>1203</v>
      </c>
      <c r="AA517" t="s">
        <v>1204</v>
      </c>
      <c r="AB517" t="s">
        <v>1205</v>
      </c>
      <c r="AC517" t="s">
        <v>1206</v>
      </c>
      <c r="AD517" t="s">
        <v>132</v>
      </c>
      <c r="AE517" t="s">
        <v>133</v>
      </c>
      <c r="AF517" t="s">
        <v>100</v>
      </c>
      <c r="AG517" t="s">
        <v>102</v>
      </c>
      <c r="AH517" t="s">
        <v>102</v>
      </c>
      <c r="AI517" t="s">
        <v>103</v>
      </c>
      <c r="AJ517" t="s">
        <v>135</v>
      </c>
      <c r="AK517">
        <v>1.5</v>
      </c>
      <c r="AL517">
        <v>24</v>
      </c>
      <c r="AM517" t="s">
        <v>229</v>
      </c>
      <c r="AN517" t="s">
        <v>106</v>
      </c>
      <c r="AO517">
        <v>32.6391666667</v>
      </c>
      <c r="AP517">
        <v>-108.92</v>
      </c>
      <c r="AQ517">
        <v>1239</v>
      </c>
      <c r="AR517" t="s">
        <v>107</v>
      </c>
      <c r="AS517">
        <v>2013</v>
      </c>
      <c r="AV517">
        <v>22</v>
      </c>
      <c r="AW517" t="s">
        <v>108</v>
      </c>
      <c r="AZ517" t="s">
        <v>109</v>
      </c>
      <c r="BA517" t="s">
        <v>110</v>
      </c>
      <c r="BB517">
        <v>21.5</v>
      </c>
      <c r="BC517">
        <v>23.1</v>
      </c>
      <c r="BE517" t="s">
        <v>139</v>
      </c>
      <c r="BF517">
        <v>22</v>
      </c>
      <c r="BG517">
        <v>0.7</v>
      </c>
      <c r="BU517" t="s">
        <v>1210</v>
      </c>
      <c r="BV517">
        <v>35.736829999999998</v>
      </c>
      <c r="BW517">
        <v>0.3233856</v>
      </c>
      <c r="BX517">
        <v>5</v>
      </c>
      <c r="BY517">
        <v>36.955970000000001</v>
      </c>
      <c r="BZ517">
        <v>1.5445422</v>
      </c>
      <c r="CA517">
        <v>4</v>
      </c>
      <c r="CB517" t="s">
        <v>113</v>
      </c>
      <c r="CC517" t="s">
        <v>1208</v>
      </c>
    </row>
    <row r="518" spans="1:81" x14ac:dyDescent="0.25">
      <c r="A518" t="s">
        <v>81</v>
      </c>
      <c r="B518">
        <v>517</v>
      </c>
      <c r="C518">
        <v>103</v>
      </c>
      <c r="D518">
        <v>97</v>
      </c>
      <c r="E518">
        <v>105</v>
      </c>
      <c r="F518">
        <v>106</v>
      </c>
      <c r="G518">
        <v>291</v>
      </c>
      <c r="H518">
        <v>414</v>
      </c>
      <c r="I518" t="s">
        <v>1197</v>
      </c>
      <c r="J518" t="s">
        <v>285</v>
      </c>
      <c r="L518" t="s">
        <v>1198</v>
      </c>
      <c r="M518" t="s">
        <v>85</v>
      </c>
      <c r="O518" t="s">
        <v>14</v>
      </c>
      <c r="P518" t="s">
        <v>1199</v>
      </c>
      <c r="Q518" t="s">
        <v>1200</v>
      </c>
      <c r="R518">
        <v>2015</v>
      </c>
      <c r="S518" t="s">
        <v>188</v>
      </c>
      <c r="U518" t="s">
        <v>1201</v>
      </c>
      <c r="V518" t="s">
        <v>1202</v>
      </c>
      <c r="W518" t="s">
        <v>91</v>
      </c>
      <c r="X518" t="s">
        <v>126</v>
      </c>
      <c r="Y518" t="s">
        <v>127</v>
      </c>
      <c r="Z518" t="s">
        <v>1203</v>
      </c>
      <c r="AA518" t="s">
        <v>1204</v>
      </c>
      <c r="AB518" t="s">
        <v>1205</v>
      </c>
      <c r="AC518" t="s">
        <v>1206</v>
      </c>
      <c r="AD518" t="s">
        <v>132</v>
      </c>
      <c r="AE518" t="s">
        <v>133</v>
      </c>
      <c r="AF518" t="s">
        <v>100</v>
      </c>
      <c r="AG518" t="s">
        <v>102</v>
      </c>
      <c r="AH518" t="s">
        <v>102</v>
      </c>
      <c r="AI518" t="s">
        <v>103</v>
      </c>
      <c r="AJ518" t="s">
        <v>135</v>
      </c>
      <c r="AK518">
        <v>1.5</v>
      </c>
      <c r="AL518">
        <v>24</v>
      </c>
      <c r="AM518" t="s">
        <v>229</v>
      </c>
      <c r="AN518" t="s">
        <v>106</v>
      </c>
      <c r="AO518">
        <v>32.6391666667</v>
      </c>
      <c r="AP518">
        <v>-108.92</v>
      </c>
      <c r="AQ518">
        <v>1239</v>
      </c>
      <c r="AR518" t="s">
        <v>107</v>
      </c>
      <c r="AS518">
        <v>2013</v>
      </c>
      <c r="AV518">
        <v>22</v>
      </c>
      <c r="AW518" t="s">
        <v>108</v>
      </c>
      <c r="AZ518" t="s">
        <v>109</v>
      </c>
      <c r="BA518" t="s">
        <v>110</v>
      </c>
      <c r="BB518">
        <v>23.1</v>
      </c>
      <c r="BC518">
        <v>23.7</v>
      </c>
      <c r="BE518" t="s">
        <v>139</v>
      </c>
      <c r="BF518">
        <v>22</v>
      </c>
      <c r="BG518">
        <v>0.7</v>
      </c>
      <c r="BU518" t="s">
        <v>1210</v>
      </c>
      <c r="BV518">
        <v>36.955970000000001</v>
      </c>
      <c r="BW518">
        <v>1.5445422</v>
      </c>
      <c r="BX518">
        <v>4</v>
      </c>
      <c r="BY518">
        <v>36.560119999999998</v>
      </c>
      <c r="BZ518">
        <v>0.42261349999999998</v>
      </c>
      <c r="CA518">
        <v>5</v>
      </c>
      <c r="CB518" t="s">
        <v>113</v>
      </c>
      <c r="CC518" t="s">
        <v>1208</v>
      </c>
    </row>
    <row r="519" spans="1:81" x14ac:dyDescent="0.25">
      <c r="A519" t="s">
        <v>81</v>
      </c>
      <c r="B519">
        <v>518</v>
      </c>
      <c r="C519">
        <v>103</v>
      </c>
      <c r="D519">
        <v>97</v>
      </c>
      <c r="E519">
        <v>105</v>
      </c>
      <c r="F519">
        <v>106</v>
      </c>
      <c r="G519">
        <v>291</v>
      </c>
      <c r="H519">
        <v>415</v>
      </c>
      <c r="I519" t="s">
        <v>1197</v>
      </c>
      <c r="J519" t="s">
        <v>285</v>
      </c>
      <c r="L519" t="s">
        <v>1198</v>
      </c>
      <c r="M519" t="s">
        <v>85</v>
      </c>
      <c r="O519" t="s">
        <v>14</v>
      </c>
      <c r="P519" t="s">
        <v>1199</v>
      </c>
      <c r="Q519" t="s">
        <v>1200</v>
      </c>
      <c r="R519">
        <v>2015</v>
      </c>
      <c r="S519" t="s">
        <v>188</v>
      </c>
      <c r="U519" t="s">
        <v>1201</v>
      </c>
      <c r="V519" t="s">
        <v>1202</v>
      </c>
      <c r="W519" t="s">
        <v>91</v>
      </c>
      <c r="X519" t="s">
        <v>126</v>
      </c>
      <c r="Y519" t="s">
        <v>127</v>
      </c>
      <c r="Z519" t="s">
        <v>1203</v>
      </c>
      <c r="AA519" t="s">
        <v>1204</v>
      </c>
      <c r="AB519" t="s">
        <v>1205</v>
      </c>
      <c r="AC519" t="s">
        <v>1206</v>
      </c>
      <c r="AD519" t="s">
        <v>132</v>
      </c>
      <c r="AE519" t="s">
        <v>133</v>
      </c>
      <c r="AF519" t="s">
        <v>100</v>
      </c>
      <c r="AG519" t="s">
        <v>102</v>
      </c>
      <c r="AH519" t="s">
        <v>102</v>
      </c>
      <c r="AI519" t="s">
        <v>103</v>
      </c>
      <c r="AJ519" t="s">
        <v>135</v>
      </c>
      <c r="AK519">
        <v>1.5</v>
      </c>
      <c r="AL519">
        <v>24</v>
      </c>
      <c r="AM519" t="s">
        <v>229</v>
      </c>
      <c r="AN519" t="s">
        <v>106</v>
      </c>
      <c r="AO519">
        <v>32.6391666667</v>
      </c>
      <c r="AP519">
        <v>-108.92</v>
      </c>
      <c r="AQ519">
        <v>1239</v>
      </c>
      <c r="AR519" t="s">
        <v>107</v>
      </c>
      <c r="AS519">
        <v>2013</v>
      </c>
      <c r="AV519">
        <v>22</v>
      </c>
      <c r="AW519" t="s">
        <v>108</v>
      </c>
      <c r="AZ519" t="s">
        <v>109</v>
      </c>
      <c r="BA519" t="s">
        <v>110</v>
      </c>
      <c r="BB519">
        <v>23.7</v>
      </c>
      <c r="BC519">
        <v>25.4</v>
      </c>
      <c r="BE519" t="s">
        <v>139</v>
      </c>
      <c r="BF519">
        <v>22</v>
      </c>
      <c r="BG519">
        <v>0.7</v>
      </c>
      <c r="BU519" t="s">
        <v>1210</v>
      </c>
      <c r="BV519">
        <v>36.560119999999998</v>
      </c>
      <c r="BW519">
        <v>0.42261349999999998</v>
      </c>
      <c r="BX519">
        <v>5</v>
      </c>
      <c r="BY519">
        <v>37.322780000000002</v>
      </c>
      <c r="BZ519">
        <v>0.89990270000000006</v>
      </c>
      <c r="CA519">
        <v>4</v>
      </c>
      <c r="CB519" t="s">
        <v>113</v>
      </c>
      <c r="CC519" t="s">
        <v>1208</v>
      </c>
    </row>
    <row r="520" spans="1:81" x14ac:dyDescent="0.25">
      <c r="A520" t="s">
        <v>81</v>
      </c>
      <c r="B520">
        <v>519</v>
      </c>
      <c r="C520">
        <v>103</v>
      </c>
      <c r="D520">
        <v>97</v>
      </c>
      <c r="E520">
        <v>105</v>
      </c>
      <c r="F520">
        <v>106</v>
      </c>
      <c r="G520">
        <v>291</v>
      </c>
      <c r="H520">
        <v>416</v>
      </c>
      <c r="I520" t="s">
        <v>1197</v>
      </c>
      <c r="J520" t="s">
        <v>285</v>
      </c>
      <c r="L520" t="s">
        <v>1198</v>
      </c>
      <c r="M520" t="s">
        <v>85</v>
      </c>
      <c r="O520" t="s">
        <v>14</v>
      </c>
      <c r="P520" t="s">
        <v>1199</v>
      </c>
      <c r="Q520" t="s">
        <v>1200</v>
      </c>
      <c r="R520">
        <v>2015</v>
      </c>
      <c r="S520" t="s">
        <v>188</v>
      </c>
      <c r="U520" t="s">
        <v>1201</v>
      </c>
      <c r="V520" t="s">
        <v>1202</v>
      </c>
      <c r="W520" t="s">
        <v>91</v>
      </c>
      <c r="X520" t="s">
        <v>126</v>
      </c>
      <c r="Y520" t="s">
        <v>127</v>
      </c>
      <c r="Z520" t="s">
        <v>1203</v>
      </c>
      <c r="AA520" t="s">
        <v>1204</v>
      </c>
      <c r="AB520" t="s">
        <v>1205</v>
      </c>
      <c r="AC520" t="s">
        <v>1206</v>
      </c>
      <c r="AD520" t="s">
        <v>132</v>
      </c>
      <c r="AE520" t="s">
        <v>133</v>
      </c>
      <c r="AF520" t="s">
        <v>100</v>
      </c>
      <c r="AG520" t="s">
        <v>102</v>
      </c>
      <c r="AH520" t="s">
        <v>102</v>
      </c>
      <c r="AI520" t="s">
        <v>103</v>
      </c>
      <c r="AJ520" t="s">
        <v>135</v>
      </c>
      <c r="AK520">
        <v>1.5</v>
      </c>
      <c r="AL520">
        <v>24</v>
      </c>
      <c r="AM520" t="s">
        <v>229</v>
      </c>
      <c r="AN520" t="s">
        <v>106</v>
      </c>
      <c r="AO520">
        <v>32.6391666667</v>
      </c>
      <c r="AP520">
        <v>-108.92</v>
      </c>
      <c r="AQ520">
        <v>1239</v>
      </c>
      <c r="AR520" t="s">
        <v>107</v>
      </c>
      <c r="AS520">
        <v>2013</v>
      </c>
      <c r="AV520">
        <v>22</v>
      </c>
      <c r="AW520" t="s">
        <v>108</v>
      </c>
      <c r="AZ520" t="s">
        <v>109</v>
      </c>
      <c r="BA520" t="s">
        <v>110</v>
      </c>
      <c r="BB520">
        <v>25.4</v>
      </c>
      <c r="BC520">
        <v>26.4</v>
      </c>
      <c r="BE520" t="s">
        <v>139</v>
      </c>
      <c r="BF520">
        <v>22</v>
      </c>
      <c r="BG520">
        <v>0.7</v>
      </c>
      <c r="BU520" t="s">
        <v>1210</v>
      </c>
      <c r="BV520">
        <v>37.322780000000002</v>
      </c>
      <c r="BW520">
        <v>0.89990270000000006</v>
      </c>
      <c r="BX520">
        <v>4</v>
      </c>
      <c r="BY520">
        <v>38.373800000000003</v>
      </c>
      <c r="BZ520">
        <v>0.72760650000000004</v>
      </c>
      <c r="CA520">
        <v>5</v>
      </c>
      <c r="CB520" t="s">
        <v>113</v>
      </c>
      <c r="CC520" t="s">
        <v>1208</v>
      </c>
    </row>
    <row r="521" spans="1:81" x14ac:dyDescent="0.25">
      <c r="A521" t="s">
        <v>81</v>
      </c>
      <c r="B521">
        <v>520</v>
      </c>
      <c r="C521">
        <v>103</v>
      </c>
      <c r="D521">
        <v>97</v>
      </c>
      <c r="E521">
        <v>105</v>
      </c>
      <c r="F521">
        <v>106</v>
      </c>
      <c r="G521">
        <v>291</v>
      </c>
      <c r="H521">
        <v>417</v>
      </c>
      <c r="I521" t="s">
        <v>1197</v>
      </c>
      <c r="J521" t="s">
        <v>285</v>
      </c>
      <c r="L521" t="s">
        <v>1198</v>
      </c>
      <c r="M521" t="s">
        <v>85</v>
      </c>
      <c r="O521" t="s">
        <v>14</v>
      </c>
      <c r="P521" t="s">
        <v>1199</v>
      </c>
      <c r="Q521" t="s">
        <v>1200</v>
      </c>
      <c r="R521">
        <v>2015</v>
      </c>
      <c r="S521" t="s">
        <v>188</v>
      </c>
      <c r="U521" t="s">
        <v>1201</v>
      </c>
      <c r="V521" t="s">
        <v>1202</v>
      </c>
      <c r="W521" t="s">
        <v>91</v>
      </c>
      <c r="X521" t="s">
        <v>126</v>
      </c>
      <c r="Y521" t="s">
        <v>127</v>
      </c>
      <c r="Z521" t="s">
        <v>1203</v>
      </c>
      <c r="AA521" t="s">
        <v>1204</v>
      </c>
      <c r="AB521" t="s">
        <v>1205</v>
      </c>
      <c r="AC521" t="s">
        <v>1206</v>
      </c>
      <c r="AD521" t="s">
        <v>132</v>
      </c>
      <c r="AE521" t="s">
        <v>133</v>
      </c>
      <c r="AF521" t="s">
        <v>100</v>
      </c>
      <c r="AG521" t="s">
        <v>102</v>
      </c>
      <c r="AH521" t="s">
        <v>102</v>
      </c>
      <c r="AI521" t="s">
        <v>103</v>
      </c>
      <c r="AJ521" t="s">
        <v>135</v>
      </c>
      <c r="AK521">
        <v>1.5</v>
      </c>
      <c r="AL521">
        <v>24</v>
      </c>
      <c r="AM521" t="s">
        <v>229</v>
      </c>
      <c r="AN521" t="s">
        <v>106</v>
      </c>
      <c r="AO521">
        <v>32.6391666667</v>
      </c>
      <c r="AP521">
        <v>-108.92</v>
      </c>
      <c r="AQ521">
        <v>1239</v>
      </c>
      <c r="AR521" t="s">
        <v>107</v>
      </c>
      <c r="AS521">
        <v>2013</v>
      </c>
      <c r="AV521">
        <v>22</v>
      </c>
      <c r="AW521" t="s">
        <v>108</v>
      </c>
      <c r="AZ521" t="s">
        <v>109</v>
      </c>
      <c r="BA521" t="s">
        <v>110</v>
      </c>
      <c r="BB521">
        <v>26.4</v>
      </c>
      <c r="BC521">
        <v>28.8</v>
      </c>
      <c r="BE521" t="s">
        <v>139</v>
      </c>
      <c r="BF521">
        <v>22</v>
      </c>
      <c r="BG521">
        <v>0.7</v>
      </c>
      <c r="BU521" t="s">
        <v>1210</v>
      </c>
      <c r="BV521">
        <v>38.373800000000003</v>
      </c>
      <c r="BW521">
        <v>0.72760650000000004</v>
      </c>
      <c r="BX521">
        <v>5</v>
      </c>
      <c r="BY521">
        <v>38.830280000000002</v>
      </c>
      <c r="BZ521">
        <v>0.56042610000000004</v>
      </c>
      <c r="CA521">
        <v>5</v>
      </c>
      <c r="CB521" t="s">
        <v>113</v>
      </c>
      <c r="CC521" t="s">
        <v>1208</v>
      </c>
    </row>
    <row r="522" spans="1:81" x14ac:dyDescent="0.25">
      <c r="A522" t="s">
        <v>81</v>
      </c>
      <c r="B522">
        <v>521</v>
      </c>
      <c r="C522">
        <v>103</v>
      </c>
      <c r="D522">
        <v>97</v>
      </c>
      <c r="E522">
        <v>105</v>
      </c>
      <c r="F522">
        <v>106</v>
      </c>
      <c r="G522">
        <v>291</v>
      </c>
      <c r="H522">
        <v>418</v>
      </c>
      <c r="I522" t="s">
        <v>1197</v>
      </c>
      <c r="J522" t="s">
        <v>285</v>
      </c>
      <c r="L522" t="s">
        <v>1198</v>
      </c>
      <c r="M522" t="s">
        <v>85</v>
      </c>
      <c r="O522" t="s">
        <v>14</v>
      </c>
      <c r="P522" t="s">
        <v>1199</v>
      </c>
      <c r="Q522" t="s">
        <v>1200</v>
      </c>
      <c r="R522">
        <v>2015</v>
      </c>
      <c r="S522" t="s">
        <v>188</v>
      </c>
      <c r="U522" t="s">
        <v>1201</v>
      </c>
      <c r="V522" t="s">
        <v>1202</v>
      </c>
      <c r="W522" t="s">
        <v>91</v>
      </c>
      <c r="X522" t="s">
        <v>126</v>
      </c>
      <c r="Y522" t="s">
        <v>127</v>
      </c>
      <c r="Z522" t="s">
        <v>1203</v>
      </c>
      <c r="AA522" t="s">
        <v>1204</v>
      </c>
      <c r="AB522" t="s">
        <v>1205</v>
      </c>
      <c r="AC522" t="s">
        <v>1206</v>
      </c>
      <c r="AD522" t="s">
        <v>132</v>
      </c>
      <c r="AE522" t="s">
        <v>133</v>
      </c>
      <c r="AF522" t="s">
        <v>100</v>
      </c>
      <c r="AG522" t="s">
        <v>102</v>
      </c>
      <c r="AH522" t="s">
        <v>102</v>
      </c>
      <c r="AI522" t="s">
        <v>103</v>
      </c>
      <c r="AJ522" t="s">
        <v>135</v>
      </c>
      <c r="AK522">
        <v>1.5</v>
      </c>
      <c r="AL522">
        <v>24</v>
      </c>
      <c r="AM522" t="s">
        <v>229</v>
      </c>
      <c r="AN522" t="s">
        <v>106</v>
      </c>
      <c r="AO522">
        <v>32.6391666667</v>
      </c>
      <c r="AP522">
        <v>-108.92</v>
      </c>
      <c r="AQ522">
        <v>1239</v>
      </c>
      <c r="AR522" t="s">
        <v>107</v>
      </c>
      <c r="AS522">
        <v>2013</v>
      </c>
      <c r="AV522">
        <v>22</v>
      </c>
      <c r="AW522" t="s">
        <v>108</v>
      </c>
      <c r="AZ522" t="s">
        <v>109</v>
      </c>
      <c r="BA522" t="s">
        <v>110</v>
      </c>
      <c r="BB522">
        <v>28.8</v>
      </c>
      <c r="BC522">
        <v>29.4</v>
      </c>
      <c r="BE522" t="s">
        <v>139</v>
      </c>
      <c r="BF522">
        <v>22</v>
      </c>
      <c r="BG522">
        <v>0.7</v>
      </c>
      <c r="BU522" t="s">
        <v>1210</v>
      </c>
      <c r="BV522">
        <v>38.830280000000002</v>
      </c>
      <c r="BW522">
        <v>0.56042610000000004</v>
      </c>
      <c r="BX522">
        <v>5</v>
      </c>
      <c r="BY522">
        <v>38.82009</v>
      </c>
      <c r="BZ522">
        <v>1.0391115</v>
      </c>
      <c r="CA522">
        <v>5</v>
      </c>
      <c r="CB522" t="s">
        <v>113</v>
      </c>
      <c r="CC522" t="s">
        <v>1208</v>
      </c>
    </row>
    <row r="523" spans="1:81" x14ac:dyDescent="0.25">
      <c r="A523" t="s">
        <v>81</v>
      </c>
      <c r="B523">
        <v>522</v>
      </c>
      <c r="C523">
        <v>103</v>
      </c>
      <c r="D523">
        <v>97</v>
      </c>
      <c r="E523">
        <v>105</v>
      </c>
      <c r="F523">
        <v>106</v>
      </c>
      <c r="G523">
        <v>291</v>
      </c>
      <c r="H523">
        <v>419</v>
      </c>
      <c r="I523" t="s">
        <v>1197</v>
      </c>
      <c r="J523" t="s">
        <v>285</v>
      </c>
      <c r="L523" t="s">
        <v>1198</v>
      </c>
      <c r="M523" t="s">
        <v>85</v>
      </c>
      <c r="O523" t="s">
        <v>14</v>
      </c>
      <c r="P523" t="s">
        <v>1199</v>
      </c>
      <c r="Q523" t="s">
        <v>1200</v>
      </c>
      <c r="R523">
        <v>2015</v>
      </c>
      <c r="S523" t="s">
        <v>188</v>
      </c>
      <c r="U523" t="s">
        <v>1201</v>
      </c>
      <c r="V523" t="s">
        <v>1202</v>
      </c>
      <c r="W523" t="s">
        <v>91</v>
      </c>
      <c r="X523" t="s">
        <v>126</v>
      </c>
      <c r="Y523" t="s">
        <v>127</v>
      </c>
      <c r="Z523" t="s">
        <v>1203</v>
      </c>
      <c r="AA523" t="s">
        <v>1204</v>
      </c>
      <c r="AB523" t="s">
        <v>1205</v>
      </c>
      <c r="AC523" t="s">
        <v>1206</v>
      </c>
      <c r="AD523" t="s">
        <v>132</v>
      </c>
      <c r="AE523" t="s">
        <v>133</v>
      </c>
      <c r="AF523" t="s">
        <v>100</v>
      </c>
      <c r="AG523" t="s">
        <v>102</v>
      </c>
      <c r="AH523" t="s">
        <v>102</v>
      </c>
      <c r="AI523" t="s">
        <v>103</v>
      </c>
      <c r="AJ523" t="s">
        <v>135</v>
      </c>
      <c r="AK523">
        <v>1.5</v>
      </c>
      <c r="AL523">
        <v>24</v>
      </c>
      <c r="AM523" t="s">
        <v>229</v>
      </c>
      <c r="AN523" t="s">
        <v>106</v>
      </c>
      <c r="AO523">
        <v>32.6391666667</v>
      </c>
      <c r="AP523">
        <v>-108.92</v>
      </c>
      <c r="AQ523">
        <v>1239</v>
      </c>
      <c r="AR523" t="s">
        <v>107</v>
      </c>
      <c r="AS523">
        <v>2013</v>
      </c>
      <c r="AV523">
        <v>22</v>
      </c>
      <c r="AW523" t="s">
        <v>108</v>
      </c>
      <c r="AZ523" t="s">
        <v>109</v>
      </c>
      <c r="BA523" t="s">
        <v>110</v>
      </c>
      <c r="BB523">
        <v>29.4</v>
      </c>
      <c r="BC523">
        <v>30.1</v>
      </c>
      <c r="BE523" t="s">
        <v>139</v>
      </c>
      <c r="BF523">
        <v>22</v>
      </c>
      <c r="BG523">
        <v>0.7</v>
      </c>
      <c r="BU523" t="s">
        <v>1210</v>
      </c>
      <c r="BV523">
        <v>38.82009</v>
      </c>
      <c r="BW523">
        <v>1.0391115</v>
      </c>
      <c r="BX523">
        <v>5</v>
      </c>
      <c r="BY523">
        <v>38.652979999999999</v>
      </c>
      <c r="BZ523">
        <v>0.75666259999999996</v>
      </c>
      <c r="CA523">
        <v>5</v>
      </c>
      <c r="CB523" t="s">
        <v>113</v>
      </c>
      <c r="CC523" t="s">
        <v>1208</v>
      </c>
    </row>
    <row r="524" spans="1:81" x14ac:dyDescent="0.25">
      <c r="A524" t="s">
        <v>81</v>
      </c>
      <c r="B524">
        <v>523</v>
      </c>
      <c r="C524">
        <v>104</v>
      </c>
      <c r="D524">
        <v>98</v>
      </c>
      <c r="E524">
        <v>106</v>
      </c>
      <c r="F524">
        <v>107</v>
      </c>
      <c r="G524">
        <v>292</v>
      </c>
      <c r="H524">
        <v>420</v>
      </c>
      <c r="I524" t="s">
        <v>1211</v>
      </c>
      <c r="J524" t="s">
        <v>211</v>
      </c>
      <c r="M524" t="s">
        <v>85</v>
      </c>
      <c r="O524" t="s">
        <v>14</v>
      </c>
      <c r="P524" t="s">
        <v>1212</v>
      </c>
      <c r="Q524" t="s">
        <v>1213</v>
      </c>
      <c r="R524">
        <v>1997</v>
      </c>
      <c r="S524" t="s">
        <v>1214</v>
      </c>
      <c r="V524" t="s">
        <v>1215</v>
      </c>
      <c r="W524" t="s">
        <v>91</v>
      </c>
      <c r="X524" t="s">
        <v>126</v>
      </c>
      <c r="Y524" t="s">
        <v>1216</v>
      </c>
      <c r="Z524" t="s">
        <v>1217</v>
      </c>
      <c r="AA524" t="s">
        <v>1218</v>
      </c>
      <c r="AB524" t="s">
        <v>1219</v>
      </c>
      <c r="AC524" t="s">
        <v>1220</v>
      </c>
      <c r="AD524" t="s">
        <v>132</v>
      </c>
      <c r="AE524" t="s">
        <v>133</v>
      </c>
      <c r="AF524" t="s">
        <v>100</v>
      </c>
      <c r="AG524" t="s">
        <v>102</v>
      </c>
      <c r="AH524" t="s">
        <v>102</v>
      </c>
      <c r="AI524" t="s">
        <v>134</v>
      </c>
      <c r="AJ524" t="s">
        <v>135</v>
      </c>
      <c r="AM524" t="s">
        <v>136</v>
      </c>
      <c r="AN524" t="s">
        <v>137</v>
      </c>
      <c r="AU524">
        <v>3.6</v>
      </c>
      <c r="AW524" t="s">
        <v>108</v>
      </c>
      <c r="AX524">
        <v>23</v>
      </c>
      <c r="AY524" t="s">
        <v>103</v>
      </c>
      <c r="AZ524" t="s">
        <v>109</v>
      </c>
      <c r="BA524" t="s">
        <v>138</v>
      </c>
      <c r="BB524">
        <v>15</v>
      </c>
      <c r="BC524">
        <v>20</v>
      </c>
      <c r="BD524">
        <v>0.2</v>
      </c>
      <c r="BE524" t="s">
        <v>139</v>
      </c>
      <c r="BF524">
        <v>14</v>
      </c>
      <c r="BG524" s="2">
        <f t="shared" ref="BG524:BG529" si="23">5/60</f>
        <v>8.3333333333333329E-2</v>
      </c>
      <c r="BT524" t="s">
        <v>1221</v>
      </c>
      <c r="BU524" t="s">
        <v>1222</v>
      </c>
      <c r="BV524">
        <v>31.2</v>
      </c>
      <c r="BW524">
        <v>0.2</v>
      </c>
      <c r="BX524">
        <v>5</v>
      </c>
      <c r="BY524">
        <v>32.6</v>
      </c>
      <c r="BZ524" t="s">
        <v>454</v>
      </c>
      <c r="CA524">
        <v>5</v>
      </c>
      <c r="CB524" t="s">
        <v>113</v>
      </c>
      <c r="CC524" t="s">
        <v>1208</v>
      </c>
    </row>
    <row r="525" spans="1:81" x14ac:dyDescent="0.25">
      <c r="A525" t="s">
        <v>81</v>
      </c>
      <c r="B525">
        <v>524</v>
      </c>
      <c r="C525">
        <v>104</v>
      </c>
      <c r="D525">
        <v>98</v>
      </c>
      <c r="E525">
        <v>106</v>
      </c>
      <c r="F525">
        <v>107</v>
      </c>
      <c r="G525">
        <v>292</v>
      </c>
      <c r="H525">
        <v>421</v>
      </c>
      <c r="I525" t="s">
        <v>1211</v>
      </c>
      <c r="J525" t="s">
        <v>211</v>
      </c>
      <c r="M525" t="s">
        <v>85</v>
      </c>
      <c r="O525" t="s">
        <v>14</v>
      </c>
      <c r="P525" t="s">
        <v>1212</v>
      </c>
      <c r="Q525" t="s">
        <v>1213</v>
      </c>
      <c r="R525">
        <v>1997</v>
      </c>
      <c r="S525" t="s">
        <v>1214</v>
      </c>
      <c r="V525" t="s">
        <v>1215</v>
      </c>
      <c r="W525" t="s">
        <v>91</v>
      </c>
      <c r="X525" t="s">
        <v>126</v>
      </c>
      <c r="Y525" t="s">
        <v>1216</v>
      </c>
      <c r="Z525" t="s">
        <v>1217</v>
      </c>
      <c r="AA525" t="s">
        <v>1218</v>
      </c>
      <c r="AB525" t="s">
        <v>1219</v>
      </c>
      <c r="AC525" t="s">
        <v>1220</v>
      </c>
      <c r="AD525" t="s">
        <v>132</v>
      </c>
      <c r="AE525" t="s">
        <v>133</v>
      </c>
      <c r="AF525" t="s">
        <v>100</v>
      </c>
      <c r="AG525" t="s">
        <v>102</v>
      </c>
      <c r="AH525" t="s">
        <v>102</v>
      </c>
      <c r="AI525" t="s">
        <v>134</v>
      </c>
      <c r="AJ525" t="s">
        <v>135</v>
      </c>
      <c r="AM525" t="s">
        <v>136</v>
      </c>
      <c r="AN525" t="s">
        <v>137</v>
      </c>
      <c r="AU525">
        <v>3.6</v>
      </c>
      <c r="AW525" t="s">
        <v>108</v>
      </c>
      <c r="AX525">
        <v>23</v>
      </c>
      <c r="AY525" t="s">
        <v>103</v>
      </c>
      <c r="AZ525" t="s">
        <v>109</v>
      </c>
      <c r="BA525" t="s">
        <v>138</v>
      </c>
      <c r="BB525">
        <v>20</v>
      </c>
      <c r="BC525">
        <v>25</v>
      </c>
      <c r="BD525">
        <v>0.2</v>
      </c>
      <c r="BE525" t="s">
        <v>139</v>
      </c>
      <c r="BF525">
        <v>14</v>
      </c>
      <c r="BG525" s="2">
        <f t="shared" si="23"/>
        <v>8.3333333333333329E-2</v>
      </c>
      <c r="BT525" t="s">
        <v>1221</v>
      </c>
      <c r="BU525" t="s">
        <v>1222</v>
      </c>
      <c r="BV525">
        <v>32.6</v>
      </c>
      <c r="BW525" t="s">
        <v>454</v>
      </c>
      <c r="BX525">
        <v>5</v>
      </c>
      <c r="BY525">
        <v>34</v>
      </c>
      <c r="BZ525">
        <v>0.1</v>
      </c>
      <c r="CA525">
        <v>5</v>
      </c>
      <c r="CB525" t="s">
        <v>113</v>
      </c>
      <c r="CC525" t="s">
        <v>1208</v>
      </c>
    </row>
    <row r="526" spans="1:81" x14ac:dyDescent="0.25">
      <c r="A526" t="s">
        <v>81</v>
      </c>
      <c r="B526">
        <v>525</v>
      </c>
      <c r="C526">
        <v>104</v>
      </c>
      <c r="D526">
        <v>98</v>
      </c>
      <c r="E526">
        <v>106</v>
      </c>
      <c r="F526">
        <v>107</v>
      </c>
      <c r="G526">
        <v>292</v>
      </c>
      <c r="H526">
        <v>422</v>
      </c>
      <c r="I526" t="s">
        <v>1211</v>
      </c>
      <c r="J526" t="s">
        <v>211</v>
      </c>
      <c r="M526" t="s">
        <v>85</v>
      </c>
      <c r="O526" t="s">
        <v>14</v>
      </c>
      <c r="P526" t="s">
        <v>1212</v>
      </c>
      <c r="Q526" t="s">
        <v>1213</v>
      </c>
      <c r="R526">
        <v>1997</v>
      </c>
      <c r="S526" t="s">
        <v>1214</v>
      </c>
      <c r="V526" t="s">
        <v>1215</v>
      </c>
      <c r="W526" t="s">
        <v>91</v>
      </c>
      <c r="X526" t="s">
        <v>126</v>
      </c>
      <c r="Y526" t="s">
        <v>1216</v>
      </c>
      <c r="Z526" t="s">
        <v>1217</v>
      </c>
      <c r="AA526" t="s">
        <v>1218</v>
      </c>
      <c r="AB526" t="s">
        <v>1219</v>
      </c>
      <c r="AC526" t="s">
        <v>1220</v>
      </c>
      <c r="AD526" t="s">
        <v>132</v>
      </c>
      <c r="AE526" t="s">
        <v>133</v>
      </c>
      <c r="AF526" t="s">
        <v>100</v>
      </c>
      <c r="AG526" t="s">
        <v>102</v>
      </c>
      <c r="AH526" t="s">
        <v>102</v>
      </c>
      <c r="AI526" t="s">
        <v>134</v>
      </c>
      <c r="AJ526" t="s">
        <v>135</v>
      </c>
      <c r="AM526" t="s">
        <v>136</v>
      </c>
      <c r="AN526" t="s">
        <v>137</v>
      </c>
      <c r="AU526">
        <v>3.6</v>
      </c>
      <c r="AW526" t="s">
        <v>108</v>
      </c>
      <c r="AX526">
        <v>23</v>
      </c>
      <c r="AY526" t="s">
        <v>103</v>
      </c>
      <c r="AZ526" t="s">
        <v>109</v>
      </c>
      <c r="BA526" t="s">
        <v>138</v>
      </c>
      <c r="BB526">
        <v>25</v>
      </c>
      <c r="BC526">
        <v>28</v>
      </c>
      <c r="BD526">
        <v>0.2</v>
      </c>
      <c r="BE526" t="s">
        <v>139</v>
      </c>
      <c r="BF526">
        <v>14</v>
      </c>
      <c r="BG526" s="2">
        <f t="shared" si="23"/>
        <v>8.3333333333333329E-2</v>
      </c>
      <c r="BU526" t="s">
        <v>1222</v>
      </c>
      <c r="BV526">
        <v>34</v>
      </c>
      <c r="BW526">
        <v>0.1</v>
      </c>
      <c r="BX526">
        <v>5</v>
      </c>
      <c r="BY526">
        <v>34.6</v>
      </c>
      <c r="BZ526">
        <v>0.1</v>
      </c>
      <c r="CA526">
        <v>5</v>
      </c>
      <c r="CB526" t="s">
        <v>113</v>
      </c>
      <c r="CC526" t="s">
        <v>1208</v>
      </c>
    </row>
    <row r="527" spans="1:81" x14ac:dyDescent="0.25">
      <c r="A527" t="s">
        <v>81</v>
      </c>
      <c r="B527">
        <v>526</v>
      </c>
      <c r="C527">
        <v>104</v>
      </c>
      <c r="D527">
        <v>98</v>
      </c>
      <c r="E527">
        <v>106</v>
      </c>
      <c r="F527">
        <v>107</v>
      </c>
      <c r="G527">
        <v>293</v>
      </c>
      <c r="H527">
        <v>420</v>
      </c>
      <c r="I527" t="s">
        <v>1211</v>
      </c>
      <c r="J527" t="s">
        <v>211</v>
      </c>
      <c r="M527" t="s">
        <v>85</v>
      </c>
      <c r="O527" t="s">
        <v>14</v>
      </c>
      <c r="P527" t="s">
        <v>1212</v>
      </c>
      <c r="Q527" t="s">
        <v>1213</v>
      </c>
      <c r="R527">
        <v>1997</v>
      </c>
      <c r="S527" t="s">
        <v>1214</v>
      </c>
      <c r="V527" t="s">
        <v>1215</v>
      </c>
      <c r="W527" t="s">
        <v>91</v>
      </c>
      <c r="X527" t="s">
        <v>126</v>
      </c>
      <c r="Y527" t="s">
        <v>1216</v>
      </c>
      <c r="Z527" t="s">
        <v>1217</v>
      </c>
      <c r="AA527" t="s">
        <v>1218</v>
      </c>
      <c r="AB527" t="s">
        <v>1219</v>
      </c>
      <c r="AC527" t="s">
        <v>1220</v>
      </c>
      <c r="AD527" t="s">
        <v>132</v>
      </c>
      <c r="AE527" t="s">
        <v>133</v>
      </c>
      <c r="AF527" t="s">
        <v>100</v>
      </c>
      <c r="AG527" t="s">
        <v>102</v>
      </c>
      <c r="AH527" t="s">
        <v>102</v>
      </c>
      <c r="AI527" t="s">
        <v>134</v>
      </c>
      <c r="AJ527" t="s">
        <v>135</v>
      </c>
      <c r="AM527" t="s">
        <v>136</v>
      </c>
      <c r="AN527" t="s">
        <v>137</v>
      </c>
      <c r="AU527">
        <v>3.6</v>
      </c>
      <c r="AW527" t="s">
        <v>108</v>
      </c>
      <c r="AX527">
        <v>23</v>
      </c>
      <c r="AY527" t="s">
        <v>103</v>
      </c>
      <c r="AZ527" t="s">
        <v>109</v>
      </c>
      <c r="BA527" t="s">
        <v>142</v>
      </c>
      <c r="BB527">
        <v>15</v>
      </c>
      <c r="BC527">
        <v>20</v>
      </c>
      <c r="BD527">
        <v>0.2</v>
      </c>
      <c r="BE527" t="s">
        <v>139</v>
      </c>
      <c r="BF527">
        <v>14</v>
      </c>
      <c r="BG527" s="2">
        <f t="shared" si="23"/>
        <v>8.3333333333333329E-2</v>
      </c>
      <c r="BU527" t="s">
        <v>1222</v>
      </c>
      <c r="BV527">
        <v>32.299999999999997</v>
      </c>
      <c r="BW527">
        <v>0.3</v>
      </c>
      <c r="BX527">
        <v>5</v>
      </c>
      <c r="BY527">
        <v>33.299999999999997</v>
      </c>
      <c r="BZ527">
        <v>0.3</v>
      </c>
      <c r="CA527">
        <v>5</v>
      </c>
      <c r="CB527" t="s">
        <v>113</v>
      </c>
      <c r="CC527" t="s">
        <v>1208</v>
      </c>
    </row>
    <row r="528" spans="1:81" x14ac:dyDescent="0.25">
      <c r="A528" t="s">
        <v>81</v>
      </c>
      <c r="B528">
        <v>527</v>
      </c>
      <c r="C528">
        <v>104</v>
      </c>
      <c r="D528">
        <v>98</v>
      </c>
      <c r="E528">
        <v>106</v>
      </c>
      <c r="F528">
        <v>107</v>
      </c>
      <c r="G528">
        <v>293</v>
      </c>
      <c r="H528">
        <v>421</v>
      </c>
      <c r="I528" t="s">
        <v>1211</v>
      </c>
      <c r="J528" t="s">
        <v>211</v>
      </c>
      <c r="M528" t="s">
        <v>85</v>
      </c>
      <c r="O528" t="s">
        <v>14</v>
      </c>
      <c r="P528" t="s">
        <v>1212</v>
      </c>
      <c r="Q528" t="s">
        <v>1213</v>
      </c>
      <c r="R528">
        <v>1997</v>
      </c>
      <c r="S528" t="s">
        <v>1214</v>
      </c>
      <c r="V528" t="s">
        <v>1215</v>
      </c>
      <c r="W528" t="s">
        <v>91</v>
      </c>
      <c r="X528" t="s">
        <v>126</v>
      </c>
      <c r="Y528" t="s">
        <v>1216</v>
      </c>
      <c r="Z528" t="s">
        <v>1217</v>
      </c>
      <c r="AA528" t="s">
        <v>1218</v>
      </c>
      <c r="AB528" t="s">
        <v>1219</v>
      </c>
      <c r="AC528" t="s">
        <v>1220</v>
      </c>
      <c r="AD528" t="s">
        <v>132</v>
      </c>
      <c r="AE528" t="s">
        <v>133</v>
      </c>
      <c r="AF528" t="s">
        <v>100</v>
      </c>
      <c r="AG528" t="s">
        <v>102</v>
      </c>
      <c r="AH528" t="s">
        <v>102</v>
      </c>
      <c r="AI528" t="s">
        <v>134</v>
      </c>
      <c r="AJ528" t="s">
        <v>135</v>
      </c>
      <c r="AM528" t="s">
        <v>136</v>
      </c>
      <c r="AN528" t="s">
        <v>137</v>
      </c>
      <c r="AU528">
        <v>3.6</v>
      </c>
      <c r="AW528" t="s">
        <v>108</v>
      </c>
      <c r="AX528">
        <v>23</v>
      </c>
      <c r="AY528" t="s">
        <v>103</v>
      </c>
      <c r="AZ528" t="s">
        <v>109</v>
      </c>
      <c r="BA528" t="s">
        <v>142</v>
      </c>
      <c r="BB528">
        <v>20</v>
      </c>
      <c r="BC528">
        <v>25</v>
      </c>
      <c r="BD528">
        <v>0.2</v>
      </c>
      <c r="BE528" t="s">
        <v>139</v>
      </c>
      <c r="BF528">
        <v>14</v>
      </c>
      <c r="BG528" s="2">
        <f t="shared" si="23"/>
        <v>8.3333333333333329E-2</v>
      </c>
      <c r="BT528" t="s">
        <v>1221</v>
      </c>
      <c r="BU528" t="s">
        <v>1222</v>
      </c>
      <c r="BV528">
        <v>33.299999999999997</v>
      </c>
      <c r="BW528">
        <v>0.3</v>
      </c>
      <c r="BX528">
        <v>5</v>
      </c>
      <c r="BY528">
        <v>34.4</v>
      </c>
      <c r="BZ528">
        <v>0.1</v>
      </c>
      <c r="CA528">
        <v>5</v>
      </c>
      <c r="CB528" t="s">
        <v>113</v>
      </c>
      <c r="CC528" t="s">
        <v>1208</v>
      </c>
    </row>
    <row r="529" spans="1:81" x14ac:dyDescent="0.25">
      <c r="A529" t="s">
        <v>81</v>
      </c>
      <c r="B529">
        <v>528</v>
      </c>
      <c r="C529">
        <v>104</v>
      </c>
      <c r="D529">
        <v>98</v>
      </c>
      <c r="E529">
        <v>106</v>
      </c>
      <c r="F529">
        <v>107</v>
      </c>
      <c r="G529">
        <v>293</v>
      </c>
      <c r="H529">
        <v>422</v>
      </c>
      <c r="I529" t="s">
        <v>1211</v>
      </c>
      <c r="J529" t="s">
        <v>211</v>
      </c>
      <c r="M529" t="s">
        <v>85</v>
      </c>
      <c r="O529" t="s">
        <v>14</v>
      </c>
      <c r="P529" t="s">
        <v>1212</v>
      </c>
      <c r="Q529" t="s">
        <v>1213</v>
      </c>
      <c r="R529">
        <v>1997</v>
      </c>
      <c r="S529" t="s">
        <v>1214</v>
      </c>
      <c r="V529" t="s">
        <v>1215</v>
      </c>
      <c r="W529" t="s">
        <v>91</v>
      </c>
      <c r="X529" t="s">
        <v>126</v>
      </c>
      <c r="Y529" t="s">
        <v>1216</v>
      </c>
      <c r="Z529" t="s">
        <v>1217</v>
      </c>
      <c r="AA529" t="s">
        <v>1218</v>
      </c>
      <c r="AB529" t="s">
        <v>1219</v>
      </c>
      <c r="AC529" t="s">
        <v>1220</v>
      </c>
      <c r="AD529" t="s">
        <v>132</v>
      </c>
      <c r="AE529" t="s">
        <v>133</v>
      </c>
      <c r="AF529" t="s">
        <v>100</v>
      </c>
      <c r="AG529" t="s">
        <v>102</v>
      </c>
      <c r="AH529" t="s">
        <v>102</v>
      </c>
      <c r="AI529" t="s">
        <v>134</v>
      </c>
      <c r="AJ529" t="s">
        <v>135</v>
      </c>
      <c r="AM529" t="s">
        <v>136</v>
      </c>
      <c r="AN529" t="s">
        <v>137</v>
      </c>
      <c r="AU529">
        <v>3.6</v>
      </c>
      <c r="AW529" t="s">
        <v>108</v>
      </c>
      <c r="AX529">
        <v>23</v>
      </c>
      <c r="AY529" t="s">
        <v>103</v>
      </c>
      <c r="AZ529" t="s">
        <v>109</v>
      </c>
      <c r="BA529" t="s">
        <v>142</v>
      </c>
      <c r="BB529">
        <v>25</v>
      </c>
      <c r="BC529">
        <v>28</v>
      </c>
      <c r="BD529">
        <v>0.2</v>
      </c>
      <c r="BE529" t="s">
        <v>139</v>
      </c>
      <c r="BF529">
        <v>14</v>
      </c>
      <c r="BG529" s="2">
        <f t="shared" si="23"/>
        <v>8.3333333333333329E-2</v>
      </c>
      <c r="BT529" t="s">
        <v>1221</v>
      </c>
      <c r="BU529" t="s">
        <v>1222</v>
      </c>
      <c r="BV529">
        <v>34.4</v>
      </c>
      <c r="BW529">
        <v>0.1</v>
      </c>
      <c r="BX529">
        <v>5</v>
      </c>
      <c r="BY529">
        <v>35.1</v>
      </c>
      <c r="BZ529" t="s">
        <v>454</v>
      </c>
      <c r="CA529">
        <v>5</v>
      </c>
      <c r="CB529" t="s">
        <v>113</v>
      </c>
      <c r="CC529" t="s">
        <v>1208</v>
      </c>
    </row>
    <row r="530" spans="1:81" x14ac:dyDescent="0.25">
      <c r="A530" t="s">
        <v>81</v>
      </c>
      <c r="B530">
        <v>529</v>
      </c>
      <c r="C530">
        <v>104</v>
      </c>
      <c r="D530">
        <v>98</v>
      </c>
      <c r="E530">
        <v>106</v>
      </c>
      <c r="F530">
        <v>107</v>
      </c>
      <c r="G530">
        <v>294</v>
      </c>
      <c r="H530">
        <v>423</v>
      </c>
      <c r="I530" t="s">
        <v>490</v>
      </c>
      <c r="J530" t="s">
        <v>197</v>
      </c>
      <c r="M530" t="s">
        <v>85</v>
      </c>
      <c r="O530" t="s">
        <v>14</v>
      </c>
      <c r="P530" t="s">
        <v>1212</v>
      </c>
      <c r="Q530" t="s">
        <v>1213</v>
      </c>
      <c r="R530">
        <v>1997</v>
      </c>
      <c r="S530" t="s">
        <v>1214</v>
      </c>
      <c r="V530" t="s">
        <v>1215</v>
      </c>
      <c r="W530" t="s">
        <v>91</v>
      </c>
      <c r="X530" t="s">
        <v>126</v>
      </c>
      <c r="Y530" t="s">
        <v>1216</v>
      </c>
      <c r="Z530" t="s">
        <v>1217</v>
      </c>
      <c r="AA530" t="s">
        <v>1218</v>
      </c>
      <c r="AB530" t="s">
        <v>1219</v>
      </c>
      <c r="AC530" t="s">
        <v>1220</v>
      </c>
      <c r="AD530" t="s">
        <v>132</v>
      </c>
      <c r="AE530" t="s">
        <v>133</v>
      </c>
      <c r="AF530" t="s">
        <v>100</v>
      </c>
      <c r="AG530" t="s">
        <v>102</v>
      </c>
      <c r="AH530" t="s">
        <v>102</v>
      </c>
      <c r="AI530" t="s">
        <v>134</v>
      </c>
      <c r="AJ530" t="s">
        <v>135</v>
      </c>
      <c r="AM530" t="s">
        <v>136</v>
      </c>
      <c r="AN530" t="s">
        <v>137</v>
      </c>
      <c r="AU530">
        <v>4.2</v>
      </c>
      <c r="AW530" t="s">
        <v>108</v>
      </c>
      <c r="AX530">
        <v>23</v>
      </c>
      <c r="AY530" t="s">
        <v>103</v>
      </c>
      <c r="AZ530" t="s">
        <v>109</v>
      </c>
      <c r="BA530" t="s">
        <v>142</v>
      </c>
      <c r="BB530">
        <v>15</v>
      </c>
      <c r="BC530">
        <v>20</v>
      </c>
      <c r="BD530">
        <v>0.2</v>
      </c>
      <c r="BE530" t="s">
        <v>139</v>
      </c>
      <c r="BF530">
        <v>14</v>
      </c>
      <c r="BG530" s="2">
        <v>0.25</v>
      </c>
      <c r="BI530">
        <v>4</v>
      </c>
      <c r="BJ530">
        <v>1</v>
      </c>
      <c r="BK530">
        <v>10</v>
      </c>
      <c r="BT530" t="s">
        <v>2251</v>
      </c>
      <c r="BU530" t="s">
        <v>1223</v>
      </c>
      <c r="BV530">
        <v>30.517769999999999</v>
      </c>
      <c r="BW530">
        <v>0.23958019999999999</v>
      </c>
      <c r="BX530">
        <v>4</v>
      </c>
      <c r="BY530">
        <v>31.173390000000001</v>
      </c>
      <c r="BZ530">
        <v>0.1974698</v>
      </c>
      <c r="CA530">
        <v>4</v>
      </c>
      <c r="CB530" t="s">
        <v>113</v>
      </c>
      <c r="CC530" t="s">
        <v>1224</v>
      </c>
    </row>
    <row r="531" spans="1:81" x14ac:dyDescent="0.25">
      <c r="A531" t="s">
        <v>81</v>
      </c>
      <c r="B531">
        <v>530</v>
      </c>
      <c r="C531">
        <v>104</v>
      </c>
      <c r="D531">
        <v>98</v>
      </c>
      <c r="E531">
        <v>106</v>
      </c>
      <c r="F531">
        <v>107</v>
      </c>
      <c r="G531">
        <v>294</v>
      </c>
      <c r="H531">
        <v>424</v>
      </c>
      <c r="I531" t="s">
        <v>490</v>
      </c>
      <c r="J531" t="s">
        <v>197</v>
      </c>
      <c r="M531" t="s">
        <v>85</v>
      </c>
      <c r="O531" t="s">
        <v>14</v>
      </c>
      <c r="P531" t="s">
        <v>1212</v>
      </c>
      <c r="Q531" t="s">
        <v>1213</v>
      </c>
      <c r="R531">
        <v>1997</v>
      </c>
      <c r="S531" t="s">
        <v>1214</v>
      </c>
      <c r="V531" t="s">
        <v>1215</v>
      </c>
      <c r="W531" t="s">
        <v>91</v>
      </c>
      <c r="X531" t="s">
        <v>126</v>
      </c>
      <c r="Y531" t="s">
        <v>1216</v>
      </c>
      <c r="Z531" t="s">
        <v>1217</v>
      </c>
      <c r="AA531" t="s">
        <v>1218</v>
      </c>
      <c r="AB531" t="s">
        <v>1219</v>
      </c>
      <c r="AC531" t="s">
        <v>1220</v>
      </c>
      <c r="AD531" t="s">
        <v>132</v>
      </c>
      <c r="AE531" t="s">
        <v>133</v>
      </c>
      <c r="AF531" t="s">
        <v>100</v>
      </c>
      <c r="AG531" t="s">
        <v>102</v>
      </c>
      <c r="AH531" t="s">
        <v>102</v>
      </c>
      <c r="AI531" t="s">
        <v>134</v>
      </c>
      <c r="AJ531" t="s">
        <v>135</v>
      </c>
      <c r="AM531" t="s">
        <v>136</v>
      </c>
      <c r="AN531" t="s">
        <v>137</v>
      </c>
      <c r="AU531">
        <v>4.2</v>
      </c>
      <c r="AW531" t="s">
        <v>108</v>
      </c>
      <c r="AX531">
        <v>23</v>
      </c>
      <c r="AY531" t="s">
        <v>103</v>
      </c>
      <c r="AZ531" t="s">
        <v>109</v>
      </c>
      <c r="BA531" t="s">
        <v>142</v>
      </c>
      <c r="BB531">
        <v>20</v>
      </c>
      <c r="BC531">
        <v>25</v>
      </c>
      <c r="BD531">
        <v>0.2</v>
      </c>
      <c r="BE531" t="s">
        <v>139</v>
      </c>
      <c r="BF531">
        <v>14</v>
      </c>
      <c r="BG531" s="2">
        <v>0.25</v>
      </c>
      <c r="BI531">
        <v>4</v>
      </c>
      <c r="BJ531">
        <v>1</v>
      </c>
      <c r="BK531">
        <v>10</v>
      </c>
      <c r="BT531" t="s">
        <v>2250</v>
      </c>
      <c r="BU531" t="s">
        <v>1223</v>
      </c>
      <c r="BV531">
        <v>31.173390000000001</v>
      </c>
      <c r="BW531">
        <v>0.1974698</v>
      </c>
      <c r="BX531">
        <v>4</v>
      </c>
      <c r="BY531">
        <v>31.800930000000001</v>
      </c>
      <c r="BZ531">
        <v>0.1288627</v>
      </c>
      <c r="CA531">
        <v>4</v>
      </c>
      <c r="CB531" t="s">
        <v>113</v>
      </c>
      <c r="CC531" t="s">
        <v>1224</v>
      </c>
    </row>
    <row r="532" spans="1:81" x14ac:dyDescent="0.25">
      <c r="A532" t="s">
        <v>81</v>
      </c>
      <c r="B532">
        <v>531</v>
      </c>
      <c r="C532">
        <v>104</v>
      </c>
      <c r="D532">
        <v>98</v>
      </c>
      <c r="E532">
        <v>106</v>
      </c>
      <c r="F532">
        <v>107</v>
      </c>
      <c r="G532">
        <v>294</v>
      </c>
      <c r="H532">
        <v>425</v>
      </c>
      <c r="I532" t="s">
        <v>490</v>
      </c>
      <c r="J532" t="s">
        <v>197</v>
      </c>
      <c r="M532" t="s">
        <v>85</v>
      </c>
      <c r="O532" t="s">
        <v>14</v>
      </c>
      <c r="P532" t="s">
        <v>1212</v>
      </c>
      <c r="Q532" t="s">
        <v>1213</v>
      </c>
      <c r="R532">
        <v>1997</v>
      </c>
      <c r="S532" t="s">
        <v>1214</v>
      </c>
      <c r="V532" t="s">
        <v>1215</v>
      </c>
      <c r="W532" t="s">
        <v>91</v>
      </c>
      <c r="X532" t="s">
        <v>126</v>
      </c>
      <c r="Y532" t="s">
        <v>1216</v>
      </c>
      <c r="Z532" t="s">
        <v>1217</v>
      </c>
      <c r="AA532" t="s">
        <v>1218</v>
      </c>
      <c r="AB532" t="s">
        <v>1219</v>
      </c>
      <c r="AC532" t="s">
        <v>1220</v>
      </c>
      <c r="AD532" t="s">
        <v>132</v>
      </c>
      <c r="AE532" t="s">
        <v>133</v>
      </c>
      <c r="AF532" t="s">
        <v>100</v>
      </c>
      <c r="AG532" t="s">
        <v>102</v>
      </c>
      <c r="AH532" t="s">
        <v>102</v>
      </c>
      <c r="AI532" t="s">
        <v>134</v>
      </c>
      <c r="AJ532" t="s">
        <v>135</v>
      </c>
      <c r="AM532" t="s">
        <v>136</v>
      </c>
      <c r="AN532" t="s">
        <v>137</v>
      </c>
      <c r="AU532">
        <v>4.2</v>
      </c>
      <c r="AW532" t="s">
        <v>108</v>
      </c>
      <c r="AX532">
        <v>23</v>
      </c>
      <c r="AY532" t="s">
        <v>103</v>
      </c>
      <c r="AZ532" t="s">
        <v>109</v>
      </c>
      <c r="BA532" t="s">
        <v>142</v>
      </c>
      <c r="BB532">
        <v>25</v>
      </c>
      <c r="BC532">
        <v>28</v>
      </c>
      <c r="BD532">
        <v>0.2</v>
      </c>
      <c r="BE532" t="s">
        <v>139</v>
      </c>
      <c r="BF532">
        <v>14</v>
      </c>
      <c r="BG532" s="2">
        <v>0.25</v>
      </c>
      <c r="BI532">
        <v>4</v>
      </c>
      <c r="BJ532">
        <v>1</v>
      </c>
      <c r="BK532">
        <v>10</v>
      </c>
      <c r="BT532" t="s">
        <v>2250</v>
      </c>
      <c r="BU532" t="s">
        <v>1223</v>
      </c>
      <c r="BV532">
        <v>31.800930000000001</v>
      </c>
      <c r="BW532">
        <v>0.1288627</v>
      </c>
      <c r="BX532">
        <v>4</v>
      </c>
      <c r="BY532">
        <v>32.754150000000003</v>
      </c>
      <c r="BZ532">
        <v>0.13823589999999999</v>
      </c>
      <c r="CA532">
        <v>4</v>
      </c>
      <c r="CB532" t="s">
        <v>113</v>
      </c>
      <c r="CC532" t="s">
        <v>1224</v>
      </c>
    </row>
    <row r="533" spans="1:81" x14ac:dyDescent="0.25">
      <c r="A533" t="s">
        <v>81</v>
      </c>
      <c r="B533">
        <v>532</v>
      </c>
      <c r="C533">
        <v>106</v>
      </c>
      <c r="D533">
        <v>100</v>
      </c>
      <c r="E533">
        <v>107</v>
      </c>
      <c r="F533">
        <v>108</v>
      </c>
      <c r="G533">
        <v>295</v>
      </c>
      <c r="H533">
        <v>426</v>
      </c>
      <c r="I533" t="s">
        <v>1225</v>
      </c>
      <c r="J533" t="s">
        <v>424</v>
      </c>
      <c r="L533" t="s">
        <v>1226</v>
      </c>
      <c r="M533" t="s">
        <v>85</v>
      </c>
      <c r="O533" t="s">
        <v>14</v>
      </c>
      <c r="P533" t="s">
        <v>1227</v>
      </c>
      <c r="Q533" t="s">
        <v>1228</v>
      </c>
      <c r="R533">
        <v>2021</v>
      </c>
      <c r="S533" t="s">
        <v>1229</v>
      </c>
      <c r="U533" t="s">
        <v>1230</v>
      </c>
      <c r="V533" t="s">
        <v>1231</v>
      </c>
      <c r="W533" t="s">
        <v>170</v>
      </c>
      <c r="X533" t="s">
        <v>1232</v>
      </c>
      <c r="Y533" t="s">
        <v>1233</v>
      </c>
      <c r="Z533" t="s">
        <v>1234</v>
      </c>
      <c r="AA533" t="s">
        <v>1235</v>
      </c>
      <c r="AB533" t="s">
        <v>1236</v>
      </c>
      <c r="AC533" t="s">
        <v>1237</v>
      </c>
      <c r="AD533" t="s">
        <v>132</v>
      </c>
      <c r="AE533" t="s">
        <v>316</v>
      </c>
      <c r="AF533" t="s">
        <v>260</v>
      </c>
      <c r="AG533" t="s">
        <v>102</v>
      </c>
      <c r="AH533" t="s">
        <v>102</v>
      </c>
      <c r="AI533" t="s">
        <v>134</v>
      </c>
      <c r="AJ533" t="s">
        <v>135</v>
      </c>
      <c r="AM533" t="s">
        <v>136</v>
      </c>
      <c r="AN533" t="s">
        <v>106</v>
      </c>
      <c r="AO533">
        <v>50.828388888900001</v>
      </c>
      <c r="AP533">
        <v>4.6399166666999996</v>
      </c>
      <c r="AQ533">
        <v>23</v>
      </c>
      <c r="AR533" t="s">
        <v>107</v>
      </c>
      <c r="AS533">
        <v>2018</v>
      </c>
      <c r="AT533">
        <f>(2.40407125+2.31246819)/2</f>
        <v>2.35826972</v>
      </c>
      <c r="AV533">
        <f>(6.59927798+5.19855596)/2</f>
        <v>5.8989169700000001</v>
      </c>
      <c r="AW533" t="s">
        <v>264</v>
      </c>
      <c r="AX533">
        <v>20</v>
      </c>
      <c r="AY533" t="s">
        <v>134</v>
      </c>
      <c r="AZ533" t="s">
        <v>109</v>
      </c>
      <c r="BA533" t="s">
        <v>110</v>
      </c>
      <c r="BB533">
        <v>20</v>
      </c>
      <c r="BC533">
        <v>26</v>
      </c>
      <c r="BE533" t="s">
        <v>139</v>
      </c>
      <c r="BF533">
        <f>(6.59927798+5.19855596)/2</f>
        <v>5.8989169700000001</v>
      </c>
      <c r="BG533">
        <f t="shared" ref="BG533:BG538" si="24">60/20</f>
        <v>3</v>
      </c>
      <c r="BP533">
        <v>14</v>
      </c>
      <c r="BS533" t="s">
        <v>265</v>
      </c>
      <c r="BU533" t="s">
        <v>1238</v>
      </c>
      <c r="BV533">
        <v>40.522820000000003</v>
      </c>
      <c r="BW533">
        <v>0.99585060000000003</v>
      </c>
      <c r="BX533">
        <v>18</v>
      </c>
      <c r="BY533">
        <v>41.145229999999998</v>
      </c>
      <c r="BZ533">
        <v>0.62240660000000003</v>
      </c>
      <c r="CA533">
        <v>18</v>
      </c>
      <c r="CB533" t="s">
        <v>113</v>
      </c>
      <c r="CC533" t="s">
        <v>451</v>
      </c>
    </row>
    <row r="534" spans="1:81" x14ac:dyDescent="0.25">
      <c r="A534" t="s">
        <v>81</v>
      </c>
      <c r="B534">
        <v>533</v>
      </c>
      <c r="C534">
        <v>106</v>
      </c>
      <c r="D534">
        <v>101</v>
      </c>
      <c r="E534">
        <v>108</v>
      </c>
      <c r="F534">
        <v>109</v>
      </c>
      <c r="G534">
        <v>296</v>
      </c>
      <c r="H534">
        <v>427</v>
      </c>
      <c r="I534" t="s">
        <v>1225</v>
      </c>
      <c r="J534" t="s">
        <v>424</v>
      </c>
      <c r="L534" t="s">
        <v>1226</v>
      </c>
      <c r="M534" t="s">
        <v>85</v>
      </c>
      <c r="O534" t="s">
        <v>14</v>
      </c>
      <c r="P534" t="s">
        <v>1227</v>
      </c>
      <c r="Q534" t="s">
        <v>1228</v>
      </c>
      <c r="R534">
        <v>2021</v>
      </c>
      <c r="S534" t="s">
        <v>1229</v>
      </c>
      <c r="U534" t="s">
        <v>1230</v>
      </c>
      <c r="V534" t="s">
        <v>1231</v>
      </c>
      <c r="W534" t="s">
        <v>170</v>
      </c>
      <c r="X534" t="s">
        <v>1232</v>
      </c>
      <c r="Y534" t="s">
        <v>1233</v>
      </c>
      <c r="Z534" t="s">
        <v>1234</v>
      </c>
      <c r="AA534" t="s">
        <v>1235</v>
      </c>
      <c r="AB534" t="s">
        <v>1239</v>
      </c>
      <c r="AC534" t="s">
        <v>1240</v>
      </c>
      <c r="AD534" t="s">
        <v>132</v>
      </c>
      <c r="AE534" t="s">
        <v>316</v>
      </c>
      <c r="AF534" t="s">
        <v>260</v>
      </c>
      <c r="AG534" t="s">
        <v>102</v>
      </c>
      <c r="AH534" t="s">
        <v>102</v>
      </c>
      <c r="AI534" t="s">
        <v>134</v>
      </c>
      <c r="AJ534" t="s">
        <v>135</v>
      </c>
      <c r="AM534" t="s">
        <v>136</v>
      </c>
      <c r="AN534" t="s">
        <v>106</v>
      </c>
      <c r="AO534">
        <v>50.828388888900001</v>
      </c>
      <c r="AP534">
        <v>4.6399166666999996</v>
      </c>
      <c r="AQ534">
        <v>23</v>
      </c>
      <c r="AR534" t="s">
        <v>107</v>
      </c>
      <c r="AS534">
        <v>2018</v>
      </c>
      <c r="AT534">
        <f>(1.95419847+1.88498728)/2</f>
        <v>1.919592875</v>
      </c>
      <c r="AV534">
        <f>(5.73285199+4.53429603)/2</f>
        <v>5.1335740100000002</v>
      </c>
      <c r="AW534" t="s">
        <v>264</v>
      </c>
      <c r="AX534">
        <v>20</v>
      </c>
      <c r="AY534" t="s">
        <v>134</v>
      </c>
      <c r="AZ534" t="s">
        <v>109</v>
      </c>
      <c r="BA534" t="s">
        <v>110</v>
      </c>
      <c r="BB534">
        <v>20</v>
      </c>
      <c r="BC534">
        <v>26</v>
      </c>
      <c r="BE534" t="s">
        <v>139</v>
      </c>
      <c r="BF534">
        <f>(5.73285199+4.53429603)/2</f>
        <v>5.1335740100000002</v>
      </c>
      <c r="BG534">
        <f t="shared" si="24"/>
        <v>3</v>
      </c>
      <c r="BP534">
        <v>14</v>
      </c>
      <c r="BS534" t="s">
        <v>265</v>
      </c>
      <c r="BU534" t="s">
        <v>1241</v>
      </c>
      <c r="BV534">
        <v>39.360999999999997</v>
      </c>
      <c r="BW534">
        <v>0.87136930000000001</v>
      </c>
      <c r="BX534">
        <v>18</v>
      </c>
      <c r="BY534">
        <v>39.593359999999997</v>
      </c>
      <c r="BZ534">
        <v>0.40663899999999997</v>
      </c>
      <c r="CA534">
        <v>18</v>
      </c>
      <c r="CB534" t="s">
        <v>113</v>
      </c>
      <c r="CC534" t="s">
        <v>451</v>
      </c>
    </row>
    <row r="535" spans="1:81" x14ac:dyDescent="0.25">
      <c r="A535" t="s">
        <v>81</v>
      </c>
      <c r="B535">
        <v>534</v>
      </c>
      <c r="C535">
        <v>106</v>
      </c>
      <c r="D535">
        <v>102</v>
      </c>
      <c r="E535">
        <v>109</v>
      </c>
      <c r="F535">
        <v>110</v>
      </c>
      <c r="G535">
        <v>297</v>
      </c>
      <c r="H535">
        <v>428</v>
      </c>
      <c r="I535" t="s">
        <v>1225</v>
      </c>
      <c r="J535" t="s">
        <v>424</v>
      </c>
      <c r="L535" t="s">
        <v>1226</v>
      </c>
      <c r="M535" t="s">
        <v>85</v>
      </c>
      <c r="O535" t="s">
        <v>14</v>
      </c>
      <c r="P535" t="s">
        <v>1227</v>
      </c>
      <c r="Q535" t="s">
        <v>1228</v>
      </c>
      <c r="R535">
        <v>2021</v>
      </c>
      <c r="S535" t="s">
        <v>1229</v>
      </c>
      <c r="U535" t="s">
        <v>1230</v>
      </c>
      <c r="V535" t="s">
        <v>1231</v>
      </c>
      <c r="W535" t="s">
        <v>170</v>
      </c>
      <c r="X535" t="s">
        <v>1232</v>
      </c>
      <c r="Y535" t="s">
        <v>1233</v>
      </c>
      <c r="Z535" t="s">
        <v>1234</v>
      </c>
      <c r="AA535" t="s">
        <v>1235</v>
      </c>
      <c r="AB535" t="s">
        <v>1242</v>
      </c>
      <c r="AC535" t="s">
        <v>1243</v>
      </c>
      <c r="AD535" t="s">
        <v>132</v>
      </c>
      <c r="AE535" t="s">
        <v>316</v>
      </c>
      <c r="AF535" t="s">
        <v>260</v>
      </c>
      <c r="AG535" t="s">
        <v>102</v>
      </c>
      <c r="AH535" t="s">
        <v>102</v>
      </c>
      <c r="AI535" t="s">
        <v>134</v>
      </c>
      <c r="AJ535" t="s">
        <v>135</v>
      </c>
      <c r="AM535" t="s">
        <v>136</v>
      </c>
      <c r="AN535" t="s">
        <v>106</v>
      </c>
      <c r="AO535">
        <v>50.828388888900001</v>
      </c>
      <c r="AP535">
        <v>4.6399166666999996</v>
      </c>
      <c r="AQ535">
        <v>23</v>
      </c>
      <c r="AR535" t="s">
        <v>107</v>
      </c>
      <c r="AS535">
        <v>2018</v>
      </c>
      <c r="AT535">
        <f>(1.49821883+1.47175573)/2</f>
        <v>1.4849872799999999</v>
      </c>
      <c r="AV535">
        <f>(5.66787004+4.40433213)/2</f>
        <v>5.0361010850000003</v>
      </c>
      <c r="AW535" t="s">
        <v>264</v>
      </c>
      <c r="AX535">
        <v>20</v>
      </c>
      <c r="AY535" t="s">
        <v>134</v>
      </c>
      <c r="AZ535" t="s">
        <v>109</v>
      </c>
      <c r="BA535" t="s">
        <v>110</v>
      </c>
      <c r="BB535">
        <v>20</v>
      </c>
      <c r="BC535">
        <v>26</v>
      </c>
      <c r="BE535" t="s">
        <v>139</v>
      </c>
      <c r="BF535">
        <f>(5.66787004+4.40433213)/2</f>
        <v>5.0361010850000003</v>
      </c>
      <c r="BG535">
        <f t="shared" si="24"/>
        <v>3</v>
      </c>
      <c r="BP535">
        <v>14</v>
      </c>
      <c r="BS535" t="s">
        <v>265</v>
      </c>
      <c r="BU535" t="s">
        <v>1241</v>
      </c>
      <c r="BV535">
        <v>38.232370000000003</v>
      </c>
      <c r="BW535">
        <v>0.88796679999999995</v>
      </c>
      <c r="BX535">
        <v>18</v>
      </c>
      <c r="BY535">
        <v>39.568460000000002</v>
      </c>
      <c r="BZ535">
        <v>0.85477179999999997</v>
      </c>
      <c r="CA535">
        <v>18</v>
      </c>
      <c r="CB535" t="s">
        <v>113</v>
      </c>
      <c r="CC535" t="s">
        <v>451</v>
      </c>
    </row>
    <row r="536" spans="1:81" x14ac:dyDescent="0.25">
      <c r="A536" t="s">
        <v>81</v>
      </c>
      <c r="B536">
        <v>535</v>
      </c>
      <c r="C536">
        <v>106</v>
      </c>
      <c r="D536">
        <v>100</v>
      </c>
      <c r="E536">
        <v>107</v>
      </c>
      <c r="F536">
        <v>111</v>
      </c>
      <c r="G536">
        <v>298</v>
      </c>
      <c r="H536">
        <v>429</v>
      </c>
      <c r="I536" t="s">
        <v>1225</v>
      </c>
      <c r="J536" t="s">
        <v>424</v>
      </c>
      <c r="L536" t="s">
        <v>1226</v>
      </c>
      <c r="M536" t="s">
        <v>85</v>
      </c>
      <c r="O536" t="s">
        <v>14</v>
      </c>
      <c r="P536" t="s">
        <v>1227</v>
      </c>
      <c r="Q536" t="s">
        <v>1228</v>
      </c>
      <c r="R536">
        <v>2021</v>
      </c>
      <c r="S536" t="s">
        <v>1229</v>
      </c>
      <c r="U536" t="s">
        <v>1230</v>
      </c>
      <c r="V536" t="s">
        <v>1231</v>
      </c>
      <c r="W536" t="s">
        <v>170</v>
      </c>
      <c r="X536" t="s">
        <v>1232</v>
      </c>
      <c r="Y536" t="s">
        <v>1233</v>
      </c>
      <c r="Z536" t="s">
        <v>1234</v>
      </c>
      <c r="AA536" t="s">
        <v>1235</v>
      </c>
      <c r="AB536" t="s">
        <v>1236</v>
      </c>
      <c r="AC536" t="s">
        <v>1237</v>
      </c>
      <c r="AD536" t="s">
        <v>132</v>
      </c>
      <c r="AE536" t="s">
        <v>316</v>
      </c>
      <c r="AF536" t="s">
        <v>260</v>
      </c>
      <c r="AG536" t="s">
        <v>102</v>
      </c>
      <c r="AH536" t="s">
        <v>102</v>
      </c>
      <c r="AI536" t="s">
        <v>134</v>
      </c>
      <c r="AJ536" t="s">
        <v>135</v>
      </c>
      <c r="AM536" t="s">
        <v>136</v>
      </c>
      <c r="AN536" t="s">
        <v>106</v>
      </c>
      <c r="AO536">
        <v>50.828388888900001</v>
      </c>
      <c r="AP536">
        <v>4.6399166666999996</v>
      </c>
      <c r="AQ536">
        <v>23</v>
      </c>
      <c r="AR536" t="s">
        <v>107</v>
      </c>
      <c r="AS536">
        <v>2018</v>
      </c>
      <c r="AT536">
        <f>(2.41424936+2.29007634)/2</f>
        <v>2.35216285</v>
      </c>
      <c r="AV536">
        <f>(6.2599278+4.85920578)/2</f>
        <v>5.5595667899999999</v>
      </c>
      <c r="AW536" t="s">
        <v>264</v>
      </c>
      <c r="AX536">
        <v>20</v>
      </c>
      <c r="AY536" t="s">
        <v>134</v>
      </c>
      <c r="AZ536" t="s">
        <v>109</v>
      </c>
      <c r="BA536" t="s">
        <v>110</v>
      </c>
      <c r="BB536">
        <v>20</v>
      </c>
      <c r="BC536">
        <v>26</v>
      </c>
      <c r="BE536" t="s">
        <v>139</v>
      </c>
      <c r="BF536">
        <f>(6.2599278+4.85920578)/2</f>
        <v>5.5595667899999999</v>
      </c>
      <c r="BG536">
        <f t="shared" si="24"/>
        <v>3</v>
      </c>
      <c r="BP536">
        <v>14</v>
      </c>
      <c r="BS536" t="s">
        <v>1244</v>
      </c>
      <c r="BU536" t="s">
        <v>1245</v>
      </c>
      <c r="BV536">
        <v>41.477179999999997</v>
      </c>
      <c r="BW536">
        <v>0.9709544</v>
      </c>
      <c r="BX536">
        <v>18</v>
      </c>
      <c r="BY536">
        <v>41.095440000000004</v>
      </c>
      <c r="BZ536">
        <v>0.92946059999999997</v>
      </c>
      <c r="CA536">
        <v>18</v>
      </c>
      <c r="CB536" t="s">
        <v>113</v>
      </c>
      <c r="CC536" t="s">
        <v>451</v>
      </c>
    </row>
    <row r="537" spans="1:81" x14ac:dyDescent="0.25">
      <c r="A537" t="s">
        <v>81</v>
      </c>
      <c r="B537">
        <v>536</v>
      </c>
      <c r="C537">
        <v>106</v>
      </c>
      <c r="D537">
        <v>101</v>
      </c>
      <c r="E537">
        <v>108</v>
      </c>
      <c r="F537">
        <v>112</v>
      </c>
      <c r="G537">
        <v>299</v>
      </c>
      <c r="H537">
        <v>430</v>
      </c>
      <c r="I537" t="s">
        <v>1225</v>
      </c>
      <c r="J537" t="s">
        <v>424</v>
      </c>
      <c r="L537" t="s">
        <v>1226</v>
      </c>
      <c r="M537" t="s">
        <v>85</v>
      </c>
      <c r="O537" t="s">
        <v>14</v>
      </c>
      <c r="P537" t="s">
        <v>1227</v>
      </c>
      <c r="Q537" t="s">
        <v>1228</v>
      </c>
      <c r="R537">
        <v>2021</v>
      </c>
      <c r="S537" t="s">
        <v>1229</v>
      </c>
      <c r="U537" t="s">
        <v>1230</v>
      </c>
      <c r="V537" t="s">
        <v>1231</v>
      </c>
      <c r="W537" t="s">
        <v>170</v>
      </c>
      <c r="X537" t="s">
        <v>1232</v>
      </c>
      <c r="Y537" t="s">
        <v>1233</v>
      </c>
      <c r="Z537" t="s">
        <v>1234</v>
      </c>
      <c r="AA537" t="s">
        <v>1235</v>
      </c>
      <c r="AB537" t="s">
        <v>1239</v>
      </c>
      <c r="AC537" t="s">
        <v>1240</v>
      </c>
      <c r="AD537" t="s">
        <v>132</v>
      </c>
      <c r="AE537" t="s">
        <v>316</v>
      </c>
      <c r="AF537" t="s">
        <v>260</v>
      </c>
      <c r="AG537" t="s">
        <v>102</v>
      </c>
      <c r="AH537" t="s">
        <v>102</v>
      </c>
      <c r="AI537" t="s">
        <v>134</v>
      </c>
      <c r="AJ537" t="s">
        <v>135</v>
      </c>
      <c r="AM537" t="s">
        <v>136</v>
      </c>
      <c r="AN537" t="s">
        <v>106</v>
      </c>
      <c r="AO537">
        <v>50.828388888900001</v>
      </c>
      <c r="AP537">
        <v>4.6399166666999996</v>
      </c>
      <c r="AQ537">
        <v>23</v>
      </c>
      <c r="AR537" t="s">
        <v>107</v>
      </c>
      <c r="AS537">
        <v>2018</v>
      </c>
      <c r="AT537">
        <f>(1.9826972+1.85852417)/2</f>
        <v>1.920610685</v>
      </c>
      <c r="AV537">
        <f>(6.06498195+5.00361011)/2</f>
        <v>5.5342960300000001</v>
      </c>
      <c r="AW537" t="s">
        <v>264</v>
      </c>
      <c r="AX537">
        <v>20</v>
      </c>
      <c r="AY537" t="s">
        <v>134</v>
      </c>
      <c r="AZ537" t="s">
        <v>109</v>
      </c>
      <c r="BA537" t="s">
        <v>110</v>
      </c>
      <c r="BB537">
        <v>20</v>
      </c>
      <c r="BC537">
        <v>26</v>
      </c>
      <c r="BE537" t="s">
        <v>139</v>
      </c>
      <c r="BF537">
        <f>(6.06498195+5.00361011)/2</f>
        <v>5.5342960300000001</v>
      </c>
      <c r="BG537">
        <f t="shared" si="24"/>
        <v>3</v>
      </c>
      <c r="BP537">
        <v>14</v>
      </c>
      <c r="BS537" t="s">
        <v>1244</v>
      </c>
      <c r="BU537" t="s">
        <v>1245</v>
      </c>
      <c r="BV537">
        <v>38.755189999999999</v>
      </c>
      <c r="BW537">
        <v>0.80497929999999995</v>
      </c>
      <c r="BX537">
        <v>18</v>
      </c>
      <c r="BY537">
        <v>39.875520000000002</v>
      </c>
      <c r="BZ537">
        <v>0.54771780000000003</v>
      </c>
      <c r="CA537">
        <v>18</v>
      </c>
      <c r="CB537" t="s">
        <v>113</v>
      </c>
      <c r="CC537" t="s">
        <v>451</v>
      </c>
    </row>
    <row r="538" spans="1:81" x14ac:dyDescent="0.25">
      <c r="A538" t="s">
        <v>81</v>
      </c>
      <c r="B538">
        <v>537</v>
      </c>
      <c r="C538">
        <v>106</v>
      </c>
      <c r="D538">
        <v>102</v>
      </c>
      <c r="E538">
        <v>109</v>
      </c>
      <c r="F538">
        <v>113</v>
      </c>
      <c r="G538">
        <v>300</v>
      </c>
      <c r="H538">
        <v>431</v>
      </c>
      <c r="I538" t="s">
        <v>1225</v>
      </c>
      <c r="J538" t="s">
        <v>424</v>
      </c>
      <c r="L538" t="s">
        <v>1226</v>
      </c>
      <c r="M538" t="s">
        <v>85</v>
      </c>
      <c r="O538" t="s">
        <v>14</v>
      </c>
      <c r="P538" t="s">
        <v>1227</v>
      </c>
      <c r="Q538" t="s">
        <v>1228</v>
      </c>
      <c r="R538">
        <v>2021</v>
      </c>
      <c r="S538" t="s">
        <v>1229</v>
      </c>
      <c r="U538" t="s">
        <v>1230</v>
      </c>
      <c r="V538" t="s">
        <v>1231</v>
      </c>
      <c r="W538" t="s">
        <v>170</v>
      </c>
      <c r="X538" t="s">
        <v>1232</v>
      </c>
      <c r="Y538" t="s">
        <v>1233</v>
      </c>
      <c r="Z538" t="s">
        <v>1234</v>
      </c>
      <c r="AA538" t="s">
        <v>1235</v>
      </c>
      <c r="AB538" t="s">
        <v>1242</v>
      </c>
      <c r="AC538" t="s">
        <v>1243</v>
      </c>
      <c r="AD538" t="s">
        <v>132</v>
      </c>
      <c r="AE538" t="s">
        <v>316</v>
      </c>
      <c r="AF538" t="s">
        <v>260</v>
      </c>
      <c r="AG538" t="s">
        <v>102</v>
      </c>
      <c r="AH538" t="s">
        <v>102</v>
      </c>
      <c r="AI538" t="s">
        <v>134</v>
      </c>
      <c r="AJ538" t="s">
        <v>135</v>
      </c>
      <c r="AM538" t="s">
        <v>136</v>
      </c>
      <c r="AN538" t="s">
        <v>106</v>
      </c>
      <c r="AO538">
        <v>50.828388888900001</v>
      </c>
      <c r="AP538">
        <v>4.6399166666999996</v>
      </c>
      <c r="AQ538">
        <v>23</v>
      </c>
      <c r="AR538" t="s">
        <v>107</v>
      </c>
      <c r="AS538">
        <v>2018</v>
      </c>
      <c r="AT538">
        <f>(1.53689567+1.46157761)/2</f>
        <v>1.4992366399999999</v>
      </c>
      <c r="AV538">
        <f>(6.19494585+4.67148014)/2</f>
        <v>5.4332129949999999</v>
      </c>
      <c r="AW538" t="s">
        <v>264</v>
      </c>
      <c r="AX538">
        <v>20</v>
      </c>
      <c r="AY538" t="s">
        <v>134</v>
      </c>
      <c r="AZ538" t="s">
        <v>109</v>
      </c>
      <c r="BA538" t="s">
        <v>110</v>
      </c>
      <c r="BB538">
        <v>20</v>
      </c>
      <c r="BC538">
        <v>26</v>
      </c>
      <c r="BE538" t="s">
        <v>139</v>
      </c>
      <c r="BF538">
        <f>(6.19494585+4.67148014)/2</f>
        <v>5.4332129949999999</v>
      </c>
      <c r="BG538">
        <f t="shared" si="24"/>
        <v>3</v>
      </c>
      <c r="BP538">
        <v>14</v>
      </c>
      <c r="BS538" t="s">
        <v>1244</v>
      </c>
      <c r="BU538" t="s">
        <v>1245</v>
      </c>
      <c r="BV538">
        <v>38.846469999999997</v>
      </c>
      <c r="BW538">
        <v>0.72199170000000001</v>
      </c>
      <c r="BX538">
        <v>18</v>
      </c>
      <c r="BY538">
        <v>39.63485</v>
      </c>
      <c r="BZ538">
        <v>0.73029049999999995</v>
      </c>
      <c r="CA538">
        <v>18</v>
      </c>
      <c r="CB538" t="s">
        <v>113</v>
      </c>
      <c r="CC538" t="s">
        <v>451</v>
      </c>
    </row>
    <row r="539" spans="1:81" x14ac:dyDescent="0.25">
      <c r="A539" t="s">
        <v>81</v>
      </c>
      <c r="B539">
        <v>538</v>
      </c>
      <c r="C539">
        <v>107</v>
      </c>
      <c r="D539">
        <v>99</v>
      </c>
      <c r="E539">
        <v>110</v>
      </c>
      <c r="F539">
        <v>114</v>
      </c>
      <c r="G539">
        <v>301</v>
      </c>
      <c r="H539">
        <v>432</v>
      </c>
      <c r="I539" t="s">
        <v>1246</v>
      </c>
      <c r="J539" t="s">
        <v>691</v>
      </c>
      <c r="M539" t="s">
        <v>85</v>
      </c>
      <c r="O539" t="s">
        <v>14</v>
      </c>
      <c r="P539" t="s">
        <v>1247</v>
      </c>
      <c r="Q539" t="s">
        <v>1248</v>
      </c>
      <c r="R539">
        <v>2001</v>
      </c>
      <c r="S539" t="s">
        <v>200</v>
      </c>
      <c r="U539" t="s">
        <v>1249</v>
      </c>
      <c r="V539" t="s">
        <v>1250</v>
      </c>
      <c r="W539" t="s">
        <v>91</v>
      </c>
      <c r="X539" t="s">
        <v>126</v>
      </c>
      <c r="Y539" t="s">
        <v>190</v>
      </c>
      <c r="Z539" t="s">
        <v>191</v>
      </c>
      <c r="AA539" t="s">
        <v>192</v>
      </c>
      <c r="AB539" t="s">
        <v>1251</v>
      </c>
      <c r="AC539" t="s">
        <v>1252</v>
      </c>
      <c r="AD539" t="s">
        <v>132</v>
      </c>
      <c r="AE539" t="s">
        <v>133</v>
      </c>
      <c r="AF539" t="s">
        <v>100</v>
      </c>
      <c r="AG539" t="s">
        <v>102</v>
      </c>
      <c r="AH539" t="s">
        <v>102</v>
      </c>
      <c r="AI539" t="s">
        <v>134</v>
      </c>
      <c r="AJ539" t="s">
        <v>135</v>
      </c>
      <c r="AM539" t="s">
        <v>136</v>
      </c>
      <c r="AN539" t="s">
        <v>137</v>
      </c>
      <c r="AU539">
        <f t="shared" ref="AU539:AU546" si="25">(0.7+2.9)/2</f>
        <v>1.7999999999999998</v>
      </c>
      <c r="AW539" t="s">
        <v>108</v>
      </c>
      <c r="AX539">
        <v>13.6</v>
      </c>
      <c r="AY539" t="s">
        <v>134</v>
      </c>
      <c r="AZ539" t="s">
        <v>109</v>
      </c>
      <c r="BA539" t="s">
        <v>138</v>
      </c>
      <c r="BB539">
        <v>13.6</v>
      </c>
      <c r="BC539">
        <v>18</v>
      </c>
      <c r="BD539">
        <f t="shared" ref="BD539:BD549" si="26">(0.5+0.6)/2</f>
        <v>0.55000000000000004</v>
      </c>
      <c r="BE539" t="s">
        <v>111</v>
      </c>
      <c r="BF539">
        <v>30</v>
      </c>
      <c r="BG539">
        <v>0.2</v>
      </c>
      <c r="BO539">
        <v>7.55</v>
      </c>
      <c r="BS539" t="s">
        <v>265</v>
      </c>
      <c r="BU539" t="s">
        <v>1253</v>
      </c>
      <c r="BV539">
        <v>27.9</v>
      </c>
      <c r="BW539">
        <v>0.68</v>
      </c>
      <c r="BX539">
        <v>10</v>
      </c>
      <c r="BY539">
        <v>29.7</v>
      </c>
      <c r="BZ539">
        <v>0.2</v>
      </c>
      <c r="CA539">
        <v>10</v>
      </c>
      <c r="CB539" t="s">
        <v>113</v>
      </c>
      <c r="CC539" t="s">
        <v>711</v>
      </c>
    </row>
    <row r="540" spans="1:81" x14ac:dyDescent="0.25">
      <c r="A540" t="s">
        <v>81</v>
      </c>
      <c r="B540">
        <v>539</v>
      </c>
      <c r="C540">
        <v>107</v>
      </c>
      <c r="D540">
        <v>99</v>
      </c>
      <c r="E540">
        <v>110</v>
      </c>
      <c r="F540">
        <v>114</v>
      </c>
      <c r="G540">
        <v>302</v>
      </c>
      <c r="H540">
        <v>432</v>
      </c>
      <c r="I540" t="s">
        <v>1246</v>
      </c>
      <c r="J540" t="s">
        <v>691</v>
      </c>
      <c r="M540" t="s">
        <v>85</v>
      </c>
      <c r="O540" t="s">
        <v>14</v>
      </c>
      <c r="P540" t="s">
        <v>1247</v>
      </c>
      <c r="Q540" t="s">
        <v>1248</v>
      </c>
      <c r="R540">
        <v>2001</v>
      </c>
      <c r="S540" t="s">
        <v>200</v>
      </c>
      <c r="U540" t="s">
        <v>1249</v>
      </c>
      <c r="V540" t="s">
        <v>1250</v>
      </c>
      <c r="W540" t="s">
        <v>91</v>
      </c>
      <c r="X540" t="s">
        <v>126</v>
      </c>
      <c r="Y540" t="s">
        <v>190</v>
      </c>
      <c r="Z540" t="s">
        <v>191</v>
      </c>
      <c r="AA540" t="s">
        <v>192</v>
      </c>
      <c r="AB540" t="s">
        <v>1251</v>
      </c>
      <c r="AC540" t="s">
        <v>1252</v>
      </c>
      <c r="AD540" t="s">
        <v>132</v>
      </c>
      <c r="AE540" t="s">
        <v>133</v>
      </c>
      <c r="AF540" t="s">
        <v>100</v>
      </c>
      <c r="AG540" t="s">
        <v>102</v>
      </c>
      <c r="AH540" t="s">
        <v>102</v>
      </c>
      <c r="AI540" t="s">
        <v>134</v>
      </c>
      <c r="AJ540" t="s">
        <v>135</v>
      </c>
      <c r="AM540" t="s">
        <v>136</v>
      </c>
      <c r="AN540" t="s">
        <v>137</v>
      </c>
      <c r="AU540">
        <f t="shared" si="25"/>
        <v>1.7999999999999998</v>
      </c>
      <c r="AW540" t="s">
        <v>108</v>
      </c>
      <c r="AX540">
        <v>13.6</v>
      </c>
      <c r="AY540" t="s">
        <v>134</v>
      </c>
      <c r="AZ540" t="s">
        <v>109</v>
      </c>
      <c r="BA540" t="s">
        <v>1031</v>
      </c>
      <c r="BB540">
        <v>13.6</v>
      </c>
      <c r="BC540">
        <v>18</v>
      </c>
      <c r="BD540">
        <f t="shared" si="26"/>
        <v>0.55000000000000004</v>
      </c>
      <c r="BE540" t="s">
        <v>111</v>
      </c>
      <c r="BF540">
        <v>30</v>
      </c>
      <c r="BG540">
        <v>0.2</v>
      </c>
      <c r="BO540">
        <v>7.55</v>
      </c>
      <c r="BS540" t="s">
        <v>265</v>
      </c>
      <c r="BU540" t="s">
        <v>1253</v>
      </c>
      <c r="BV540">
        <v>28.6</v>
      </c>
      <c r="BW540">
        <v>0.55000000000000004</v>
      </c>
      <c r="BX540">
        <v>10</v>
      </c>
      <c r="BY540">
        <v>30</v>
      </c>
      <c r="BZ540">
        <v>0.16</v>
      </c>
      <c r="CA540">
        <v>10</v>
      </c>
      <c r="CB540" t="s">
        <v>113</v>
      </c>
      <c r="CC540" t="s">
        <v>711</v>
      </c>
    </row>
    <row r="541" spans="1:81" x14ac:dyDescent="0.25">
      <c r="A541" t="s">
        <v>81</v>
      </c>
      <c r="B541">
        <v>540</v>
      </c>
      <c r="C541">
        <v>107</v>
      </c>
      <c r="D541">
        <v>99</v>
      </c>
      <c r="E541">
        <v>111</v>
      </c>
      <c r="F541">
        <v>115</v>
      </c>
      <c r="G541">
        <v>303</v>
      </c>
      <c r="H541">
        <v>433</v>
      </c>
      <c r="I541" t="s">
        <v>1246</v>
      </c>
      <c r="J541" t="s">
        <v>691</v>
      </c>
      <c r="M541" t="s">
        <v>85</v>
      </c>
      <c r="O541" t="s">
        <v>14</v>
      </c>
      <c r="P541" t="s">
        <v>1247</v>
      </c>
      <c r="Q541" t="s">
        <v>1248</v>
      </c>
      <c r="R541">
        <v>2001</v>
      </c>
      <c r="S541" t="s">
        <v>200</v>
      </c>
      <c r="U541" t="s">
        <v>1249</v>
      </c>
      <c r="V541" t="s">
        <v>1250</v>
      </c>
      <c r="W541" t="s">
        <v>91</v>
      </c>
      <c r="X541" t="s">
        <v>126</v>
      </c>
      <c r="Y541" t="s">
        <v>190</v>
      </c>
      <c r="Z541" t="s">
        <v>191</v>
      </c>
      <c r="AA541" t="s">
        <v>192</v>
      </c>
      <c r="AB541" t="s">
        <v>1251</v>
      </c>
      <c r="AC541" t="s">
        <v>1252</v>
      </c>
      <c r="AD541" t="s">
        <v>132</v>
      </c>
      <c r="AE541" t="s">
        <v>133</v>
      </c>
      <c r="AF541" t="s">
        <v>100</v>
      </c>
      <c r="AG541" t="s">
        <v>102</v>
      </c>
      <c r="AH541" t="s">
        <v>102</v>
      </c>
      <c r="AI541" t="s">
        <v>134</v>
      </c>
      <c r="AJ541" t="s">
        <v>135</v>
      </c>
      <c r="AM541" t="s">
        <v>136</v>
      </c>
      <c r="AN541" t="s">
        <v>137</v>
      </c>
      <c r="AU541">
        <f t="shared" si="25"/>
        <v>1.7999999999999998</v>
      </c>
      <c r="AW541" t="s">
        <v>108</v>
      </c>
      <c r="AX541">
        <v>13.6</v>
      </c>
      <c r="AY541" t="s">
        <v>134</v>
      </c>
      <c r="AZ541" t="s">
        <v>109</v>
      </c>
      <c r="BA541" t="s">
        <v>138</v>
      </c>
      <c r="BB541">
        <v>13.6</v>
      </c>
      <c r="BC541">
        <v>18</v>
      </c>
      <c r="BD541">
        <f t="shared" si="26"/>
        <v>0.55000000000000004</v>
      </c>
      <c r="BE541" t="s">
        <v>111</v>
      </c>
      <c r="BF541">
        <v>30</v>
      </c>
      <c r="BG541">
        <v>0.2</v>
      </c>
      <c r="BO541">
        <v>7.55</v>
      </c>
      <c r="BS541" t="s">
        <v>265</v>
      </c>
      <c r="BU541" t="s">
        <v>1254</v>
      </c>
      <c r="BV541">
        <v>28.3</v>
      </c>
      <c r="BW541">
        <v>0.41</v>
      </c>
      <c r="BX541">
        <v>10</v>
      </c>
      <c r="BY541">
        <v>29.5</v>
      </c>
      <c r="BZ541">
        <v>0.39</v>
      </c>
      <c r="CA541">
        <v>10</v>
      </c>
      <c r="CB541" t="s">
        <v>113</v>
      </c>
      <c r="CC541" t="s">
        <v>711</v>
      </c>
    </row>
    <row r="542" spans="1:81" x14ac:dyDescent="0.25">
      <c r="A542" t="s">
        <v>81</v>
      </c>
      <c r="B542">
        <v>541</v>
      </c>
      <c r="C542">
        <v>107</v>
      </c>
      <c r="D542">
        <v>99</v>
      </c>
      <c r="E542">
        <v>111</v>
      </c>
      <c r="F542">
        <v>115</v>
      </c>
      <c r="G542">
        <v>304</v>
      </c>
      <c r="H542">
        <v>433</v>
      </c>
      <c r="I542" t="s">
        <v>1246</v>
      </c>
      <c r="J542" t="s">
        <v>691</v>
      </c>
      <c r="M542" t="s">
        <v>85</v>
      </c>
      <c r="O542" t="s">
        <v>14</v>
      </c>
      <c r="P542" t="s">
        <v>1247</v>
      </c>
      <c r="Q542" t="s">
        <v>1248</v>
      </c>
      <c r="R542">
        <v>2001</v>
      </c>
      <c r="S542" t="s">
        <v>200</v>
      </c>
      <c r="U542" t="s">
        <v>1249</v>
      </c>
      <c r="V542" t="s">
        <v>1250</v>
      </c>
      <c r="W542" t="s">
        <v>91</v>
      </c>
      <c r="X542" t="s">
        <v>126</v>
      </c>
      <c r="Y542" t="s">
        <v>190</v>
      </c>
      <c r="Z542" t="s">
        <v>191</v>
      </c>
      <c r="AA542" t="s">
        <v>192</v>
      </c>
      <c r="AB542" t="s">
        <v>1251</v>
      </c>
      <c r="AC542" t="s">
        <v>1252</v>
      </c>
      <c r="AD542" t="s">
        <v>132</v>
      </c>
      <c r="AE542" t="s">
        <v>133</v>
      </c>
      <c r="AF542" t="s">
        <v>100</v>
      </c>
      <c r="AG542" t="s">
        <v>102</v>
      </c>
      <c r="AH542" t="s">
        <v>102</v>
      </c>
      <c r="AI542" t="s">
        <v>134</v>
      </c>
      <c r="AJ542" t="s">
        <v>135</v>
      </c>
      <c r="AM542" t="s">
        <v>136</v>
      </c>
      <c r="AN542" t="s">
        <v>137</v>
      </c>
      <c r="AU542">
        <f t="shared" si="25"/>
        <v>1.7999999999999998</v>
      </c>
      <c r="AW542" t="s">
        <v>108</v>
      </c>
      <c r="AX542">
        <v>13.6</v>
      </c>
      <c r="AY542" t="s">
        <v>134</v>
      </c>
      <c r="AZ542" t="s">
        <v>109</v>
      </c>
      <c r="BA542" t="s">
        <v>1031</v>
      </c>
      <c r="BB542">
        <v>13.6</v>
      </c>
      <c r="BC542">
        <v>18</v>
      </c>
      <c r="BD542">
        <f t="shared" si="26"/>
        <v>0.55000000000000004</v>
      </c>
      <c r="BE542" t="s">
        <v>111</v>
      </c>
      <c r="BF542">
        <v>30</v>
      </c>
      <c r="BG542">
        <v>0.2</v>
      </c>
      <c r="BO542">
        <v>7.55</v>
      </c>
      <c r="BS542" t="s">
        <v>265</v>
      </c>
      <c r="BU542" t="s">
        <v>1254</v>
      </c>
      <c r="BV542">
        <v>28.7</v>
      </c>
      <c r="BW542">
        <v>0.34</v>
      </c>
      <c r="BX542">
        <v>10</v>
      </c>
      <c r="BY542">
        <v>29.7</v>
      </c>
      <c r="BZ542">
        <v>0.32</v>
      </c>
      <c r="CA542">
        <v>10</v>
      </c>
      <c r="CB542" t="s">
        <v>113</v>
      </c>
      <c r="CC542" t="s">
        <v>711</v>
      </c>
    </row>
    <row r="543" spans="1:81" x14ac:dyDescent="0.25">
      <c r="A543" t="s">
        <v>81</v>
      </c>
      <c r="B543">
        <v>542</v>
      </c>
      <c r="C543">
        <v>107</v>
      </c>
      <c r="D543">
        <v>99</v>
      </c>
      <c r="E543">
        <v>112</v>
      </c>
      <c r="F543">
        <v>116</v>
      </c>
      <c r="G543">
        <v>305</v>
      </c>
      <c r="H543">
        <v>434</v>
      </c>
      <c r="I543" t="s">
        <v>1246</v>
      </c>
      <c r="J543" t="s">
        <v>691</v>
      </c>
      <c r="M543" t="s">
        <v>85</v>
      </c>
      <c r="O543" t="s">
        <v>14</v>
      </c>
      <c r="P543" t="s">
        <v>1247</v>
      </c>
      <c r="Q543" t="s">
        <v>1248</v>
      </c>
      <c r="R543">
        <v>2001</v>
      </c>
      <c r="S543" t="s">
        <v>200</v>
      </c>
      <c r="U543" t="s">
        <v>1249</v>
      </c>
      <c r="V543" t="s">
        <v>1250</v>
      </c>
      <c r="W543" t="s">
        <v>91</v>
      </c>
      <c r="X543" t="s">
        <v>126</v>
      </c>
      <c r="Y543" t="s">
        <v>190</v>
      </c>
      <c r="Z543" t="s">
        <v>191</v>
      </c>
      <c r="AA543" t="s">
        <v>192</v>
      </c>
      <c r="AB543" t="s">
        <v>1251</v>
      </c>
      <c r="AC543" t="s">
        <v>1252</v>
      </c>
      <c r="AD543" t="s">
        <v>132</v>
      </c>
      <c r="AE543" t="s">
        <v>133</v>
      </c>
      <c r="AF543" t="s">
        <v>100</v>
      </c>
      <c r="AG543" t="s">
        <v>102</v>
      </c>
      <c r="AH543" t="s">
        <v>102</v>
      </c>
      <c r="AI543" t="s">
        <v>134</v>
      </c>
      <c r="AJ543" t="s">
        <v>135</v>
      </c>
      <c r="AM543" t="s">
        <v>136</v>
      </c>
      <c r="AN543" t="s">
        <v>137</v>
      </c>
      <c r="AU543">
        <f t="shared" si="25"/>
        <v>1.7999999999999998</v>
      </c>
      <c r="AW543" t="s">
        <v>108</v>
      </c>
      <c r="AX543">
        <v>13.6</v>
      </c>
      <c r="AY543" t="s">
        <v>134</v>
      </c>
      <c r="AZ543" t="s">
        <v>109</v>
      </c>
      <c r="BA543" t="s">
        <v>138</v>
      </c>
      <c r="BB543">
        <v>13.6</v>
      </c>
      <c r="BC543">
        <v>18</v>
      </c>
      <c r="BD543">
        <f t="shared" si="26"/>
        <v>0.55000000000000004</v>
      </c>
      <c r="BE543" t="s">
        <v>111</v>
      </c>
      <c r="BF543">
        <v>30</v>
      </c>
      <c r="BG543">
        <v>0.2</v>
      </c>
      <c r="BO543">
        <v>7.55</v>
      </c>
      <c r="BS543" t="s">
        <v>265</v>
      </c>
      <c r="BU543" t="s">
        <v>1255</v>
      </c>
      <c r="BV543">
        <v>28.2</v>
      </c>
      <c r="BW543">
        <v>0.31</v>
      </c>
      <c r="BX543">
        <v>10</v>
      </c>
      <c r="BY543">
        <v>29.4</v>
      </c>
      <c r="BZ543">
        <v>0.41</v>
      </c>
      <c r="CA543">
        <v>10</v>
      </c>
      <c r="CB543" t="s">
        <v>113</v>
      </c>
      <c r="CC543" t="s">
        <v>711</v>
      </c>
    </row>
    <row r="544" spans="1:81" x14ac:dyDescent="0.25">
      <c r="A544" t="s">
        <v>81</v>
      </c>
      <c r="B544">
        <v>543</v>
      </c>
      <c r="C544">
        <v>107</v>
      </c>
      <c r="D544">
        <v>99</v>
      </c>
      <c r="E544">
        <v>112</v>
      </c>
      <c r="F544">
        <v>116</v>
      </c>
      <c r="G544">
        <v>306</v>
      </c>
      <c r="H544">
        <v>434</v>
      </c>
      <c r="I544" t="s">
        <v>1246</v>
      </c>
      <c r="J544" t="s">
        <v>691</v>
      </c>
      <c r="M544" t="s">
        <v>85</v>
      </c>
      <c r="O544" t="s">
        <v>14</v>
      </c>
      <c r="P544" t="s">
        <v>1247</v>
      </c>
      <c r="Q544" t="s">
        <v>1248</v>
      </c>
      <c r="R544">
        <v>2001</v>
      </c>
      <c r="S544" t="s">
        <v>200</v>
      </c>
      <c r="U544" t="s">
        <v>1249</v>
      </c>
      <c r="V544" t="s">
        <v>1250</v>
      </c>
      <c r="W544" t="s">
        <v>91</v>
      </c>
      <c r="X544" t="s">
        <v>126</v>
      </c>
      <c r="Y544" t="s">
        <v>190</v>
      </c>
      <c r="Z544" t="s">
        <v>191</v>
      </c>
      <c r="AA544" t="s">
        <v>192</v>
      </c>
      <c r="AB544" t="s">
        <v>1251</v>
      </c>
      <c r="AC544" t="s">
        <v>1252</v>
      </c>
      <c r="AD544" t="s">
        <v>132</v>
      </c>
      <c r="AE544" t="s">
        <v>133</v>
      </c>
      <c r="AF544" t="s">
        <v>100</v>
      </c>
      <c r="AG544" t="s">
        <v>102</v>
      </c>
      <c r="AH544" t="s">
        <v>102</v>
      </c>
      <c r="AI544" t="s">
        <v>134</v>
      </c>
      <c r="AJ544" t="s">
        <v>135</v>
      </c>
      <c r="AM544" t="s">
        <v>136</v>
      </c>
      <c r="AN544" t="s">
        <v>137</v>
      </c>
      <c r="AU544">
        <f t="shared" si="25"/>
        <v>1.7999999999999998</v>
      </c>
      <c r="AW544" t="s">
        <v>108</v>
      </c>
      <c r="AX544">
        <v>13.6</v>
      </c>
      <c r="AY544" t="s">
        <v>134</v>
      </c>
      <c r="AZ544" t="s">
        <v>109</v>
      </c>
      <c r="BA544" t="s">
        <v>1031</v>
      </c>
      <c r="BB544">
        <v>13.6</v>
      </c>
      <c r="BC544">
        <v>18</v>
      </c>
      <c r="BD544">
        <f t="shared" si="26"/>
        <v>0.55000000000000004</v>
      </c>
      <c r="BE544" t="s">
        <v>111</v>
      </c>
      <c r="BF544">
        <v>30</v>
      </c>
      <c r="BG544">
        <v>0.2</v>
      </c>
      <c r="BO544">
        <v>7.55</v>
      </c>
      <c r="BS544" t="s">
        <v>265</v>
      </c>
      <c r="BU544" t="s">
        <v>1255</v>
      </c>
      <c r="BV544">
        <v>28.6</v>
      </c>
      <c r="BW544">
        <v>0.32</v>
      </c>
      <c r="BX544">
        <v>10</v>
      </c>
      <c r="BY544">
        <v>29.6</v>
      </c>
      <c r="BZ544">
        <v>0.39</v>
      </c>
      <c r="CA544">
        <v>10</v>
      </c>
      <c r="CB544" t="s">
        <v>113</v>
      </c>
      <c r="CC544" t="s">
        <v>711</v>
      </c>
    </row>
    <row r="545" spans="1:81" x14ac:dyDescent="0.25">
      <c r="A545" t="s">
        <v>81</v>
      </c>
      <c r="B545">
        <v>544</v>
      </c>
      <c r="C545">
        <v>107</v>
      </c>
      <c r="D545">
        <v>99</v>
      </c>
      <c r="E545">
        <v>113</v>
      </c>
      <c r="F545">
        <v>117</v>
      </c>
      <c r="G545">
        <v>307</v>
      </c>
      <c r="H545">
        <v>435</v>
      </c>
      <c r="I545" t="s">
        <v>1246</v>
      </c>
      <c r="J545" t="s">
        <v>691</v>
      </c>
      <c r="M545" t="s">
        <v>85</v>
      </c>
      <c r="O545" t="s">
        <v>14</v>
      </c>
      <c r="P545" t="s">
        <v>1247</v>
      </c>
      <c r="Q545" t="s">
        <v>1248</v>
      </c>
      <c r="R545">
        <v>2001</v>
      </c>
      <c r="S545" t="s">
        <v>200</v>
      </c>
      <c r="U545" t="s">
        <v>1249</v>
      </c>
      <c r="V545" t="s">
        <v>1250</v>
      </c>
      <c r="W545" t="s">
        <v>91</v>
      </c>
      <c r="X545" t="s">
        <v>126</v>
      </c>
      <c r="Y545" t="s">
        <v>190</v>
      </c>
      <c r="Z545" t="s">
        <v>191</v>
      </c>
      <c r="AA545" t="s">
        <v>192</v>
      </c>
      <c r="AB545" t="s">
        <v>1251</v>
      </c>
      <c r="AC545" t="s">
        <v>1252</v>
      </c>
      <c r="AD545" t="s">
        <v>132</v>
      </c>
      <c r="AE545" t="s">
        <v>133</v>
      </c>
      <c r="AF545" t="s">
        <v>100</v>
      </c>
      <c r="AG545" t="s">
        <v>102</v>
      </c>
      <c r="AH545" t="s">
        <v>102</v>
      </c>
      <c r="AI545" t="s">
        <v>134</v>
      </c>
      <c r="AJ545" t="s">
        <v>135</v>
      </c>
      <c r="AM545" t="s">
        <v>136</v>
      </c>
      <c r="AN545" t="s">
        <v>137</v>
      </c>
      <c r="AU545">
        <f t="shared" si="25"/>
        <v>1.7999999999999998</v>
      </c>
      <c r="AW545" t="s">
        <v>108</v>
      </c>
      <c r="AX545">
        <v>13.6</v>
      </c>
      <c r="AY545" t="s">
        <v>134</v>
      </c>
      <c r="AZ545" t="s">
        <v>109</v>
      </c>
      <c r="BA545" t="s">
        <v>138</v>
      </c>
      <c r="BB545">
        <v>13.6</v>
      </c>
      <c r="BC545">
        <v>18</v>
      </c>
      <c r="BD545">
        <f t="shared" si="26"/>
        <v>0.55000000000000004</v>
      </c>
      <c r="BE545" t="s">
        <v>111</v>
      </c>
      <c r="BF545">
        <v>30</v>
      </c>
      <c r="BG545">
        <v>0.2</v>
      </c>
      <c r="BO545">
        <v>7.55</v>
      </c>
      <c r="BS545" t="s">
        <v>265</v>
      </c>
      <c r="BU545" t="s">
        <v>1256</v>
      </c>
      <c r="BV545">
        <v>28.1</v>
      </c>
      <c r="BW545">
        <v>0.23</v>
      </c>
      <c r="BX545">
        <v>10</v>
      </c>
      <c r="BY545">
        <v>29.6</v>
      </c>
      <c r="BZ545">
        <v>0.24</v>
      </c>
      <c r="CA545">
        <v>10</v>
      </c>
      <c r="CB545" t="s">
        <v>113</v>
      </c>
      <c r="CC545" t="s">
        <v>711</v>
      </c>
    </row>
    <row r="546" spans="1:81" x14ac:dyDescent="0.25">
      <c r="A546" t="s">
        <v>81</v>
      </c>
      <c r="B546">
        <v>545</v>
      </c>
      <c r="C546">
        <v>107</v>
      </c>
      <c r="D546">
        <v>99</v>
      </c>
      <c r="E546">
        <v>113</v>
      </c>
      <c r="F546">
        <v>117</v>
      </c>
      <c r="G546">
        <v>308</v>
      </c>
      <c r="H546">
        <v>435</v>
      </c>
      <c r="I546" t="s">
        <v>1246</v>
      </c>
      <c r="J546" t="s">
        <v>691</v>
      </c>
      <c r="M546" t="s">
        <v>85</v>
      </c>
      <c r="O546" t="s">
        <v>14</v>
      </c>
      <c r="P546" t="s">
        <v>1247</v>
      </c>
      <c r="Q546" t="s">
        <v>1248</v>
      </c>
      <c r="R546">
        <v>2001</v>
      </c>
      <c r="S546" t="s">
        <v>200</v>
      </c>
      <c r="U546" t="s">
        <v>1249</v>
      </c>
      <c r="V546" t="s">
        <v>1250</v>
      </c>
      <c r="W546" t="s">
        <v>91</v>
      </c>
      <c r="X546" t="s">
        <v>126</v>
      </c>
      <c r="Y546" t="s">
        <v>190</v>
      </c>
      <c r="Z546" t="s">
        <v>191</v>
      </c>
      <c r="AA546" t="s">
        <v>192</v>
      </c>
      <c r="AB546" t="s">
        <v>1251</v>
      </c>
      <c r="AC546" t="s">
        <v>1252</v>
      </c>
      <c r="AD546" t="s">
        <v>132</v>
      </c>
      <c r="AE546" t="s">
        <v>133</v>
      </c>
      <c r="AF546" t="s">
        <v>100</v>
      </c>
      <c r="AG546" t="s">
        <v>102</v>
      </c>
      <c r="AH546" t="s">
        <v>102</v>
      </c>
      <c r="AI546" t="s">
        <v>134</v>
      </c>
      <c r="AJ546" t="s">
        <v>135</v>
      </c>
      <c r="AM546" t="s">
        <v>136</v>
      </c>
      <c r="AN546" t="s">
        <v>137</v>
      </c>
      <c r="AU546">
        <f t="shared" si="25"/>
        <v>1.7999999999999998</v>
      </c>
      <c r="AW546" t="s">
        <v>108</v>
      </c>
      <c r="AX546">
        <v>13.6</v>
      </c>
      <c r="AY546" t="s">
        <v>134</v>
      </c>
      <c r="AZ546" t="s">
        <v>109</v>
      </c>
      <c r="BA546" t="s">
        <v>1031</v>
      </c>
      <c r="BB546">
        <v>13.6</v>
      </c>
      <c r="BC546">
        <v>18</v>
      </c>
      <c r="BD546">
        <f t="shared" si="26"/>
        <v>0.55000000000000004</v>
      </c>
      <c r="BE546" t="s">
        <v>111</v>
      </c>
      <c r="BF546">
        <v>30</v>
      </c>
      <c r="BG546">
        <v>0.2</v>
      </c>
      <c r="BO546">
        <v>7.55</v>
      </c>
      <c r="BS546" t="s">
        <v>265</v>
      </c>
      <c r="BU546" t="s">
        <v>1256</v>
      </c>
      <c r="BV546">
        <v>28.5</v>
      </c>
      <c r="BW546">
        <v>0.25</v>
      </c>
      <c r="BX546">
        <v>10</v>
      </c>
      <c r="BY546">
        <v>29.8</v>
      </c>
      <c r="BZ546">
        <v>0.19</v>
      </c>
      <c r="CA546">
        <v>10</v>
      </c>
      <c r="CB546" t="s">
        <v>113</v>
      </c>
      <c r="CC546" t="s">
        <v>711</v>
      </c>
    </row>
    <row r="547" spans="1:81" x14ac:dyDescent="0.25">
      <c r="A547" t="s">
        <v>81</v>
      </c>
      <c r="B547">
        <v>546</v>
      </c>
      <c r="C547">
        <v>107</v>
      </c>
      <c r="D547">
        <v>99</v>
      </c>
      <c r="E547">
        <v>110</v>
      </c>
      <c r="F547">
        <v>114</v>
      </c>
      <c r="G547">
        <v>309</v>
      </c>
      <c r="H547">
        <v>436</v>
      </c>
      <c r="I547" t="s">
        <v>1257</v>
      </c>
      <c r="J547" t="s">
        <v>197</v>
      </c>
      <c r="M547" t="s">
        <v>85</v>
      </c>
      <c r="O547" t="s">
        <v>14</v>
      </c>
      <c r="P547" t="s">
        <v>1247</v>
      </c>
      <c r="Q547" t="s">
        <v>1248</v>
      </c>
      <c r="R547">
        <v>2001</v>
      </c>
      <c r="S547" t="s">
        <v>200</v>
      </c>
      <c r="U547" t="s">
        <v>1249</v>
      </c>
      <c r="V547" t="s">
        <v>1250</v>
      </c>
      <c r="W547" t="s">
        <v>91</v>
      </c>
      <c r="X547" t="s">
        <v>126</v>
      </c>
      <c r="Y547" t="s">
        <v>190</v>
      </c>
      <c r="Z547" t="s">
        <v>191</v>
      </c>
      <c r="AA547" t="s">
        <v>192</v>
      </c>
      <c r="AB547" t="s">
        <v>1251</v>
      </c>
      <c r="AC547" t="s">
        <v>1252</v>
      </c>
      <c r="AD547" t="s">
        <v>132</v>
      </c>
      <c r="AE547" t="s">
        <v>133</v>
      </c>
      <c r="AF547" t="s">
        <v>100</v>
      </c>
      <c r="AG547" t="s">
        <v>102</v>
      </c>
      <c r="AH547" t="s">
        <v>102</v>
      </c>
      <c r="AI547" t="s">
        <v>134</v>
      </c>
      <c r="AJ547" t="s">
        <v>135</v>
      </c>
      <c r="AM547" t="s">
        <v>136</v>
      </c>
      <c r="AN547" t="s">
        <v>137</v>
      </c>
      <c r="AU547">
        <f>(4.9+23.7)/2</f>
        <v>14.3</v>
      </c>
      <c r="AW547" t="s">
        <v>108</v>
      </c>
      <c r="AX547">
        <v>13.6</v>
      </c>
      <c r="AY547" t="s">
        <v>134</v>
      </c>
      <c r="AZ547" t="s">
        <v>212</v>
      </c>
      <c r="BA547" t="s">
        <v>142</v>
      </c>
      <c r="BB547">
        <v>13.6</v>
      </c>
      <c r="BC547">
        <v>18</v>
      </c>
      <c r="BD547">
        <f t="shared" si="26"/>
        <v>0.55000000000000004</v>
      </c>
      <c r="BE547" t="s">
        <v>111</v>
      </c>
      <c r="BF547">
        <v>90</v>
      </c>
      <c r="BG547">
        <v>0.2</v>
      </c>
      <c r="BH547">
        <v>96</v>
      </c>
      <c r="BI547">
        <v>4</v>
      </c>
      <c r="BJ547">
        <v>2.5</v>
      </c>
      <c r="BK547">
        <v>10</v>
      </c>
      <c r="BO547">
        <v>7.55</v>
      </c>
      <c r="BS547" t="s">
        <v>265</v>
      </c>
      <c r="BU547" t="s">
        <v>1258</v>
      </c>
      <c r="BV547">
        <v>23.464569999999998</v>
      </c>
      <c r="BW547">
        <v>0.1095414</v>
      </c>
      <c r="BX547">
        <v>10</v>
      </c>
      <c r="BY547">
        <v>23.81794</v>
      </c>
      <c r="BZ547">
        <v>0.1004198</v>
      </c>
      <c r="CA547">
        <v>10</v>
      </c>
      <c r="CB547" t="s">
        <v>215</v>
      </c>
      <c r="CC547" t="s">
        <v>1259</v>
      </c>
    </row>
    <row r="548" spans="1:81" x14ac:dyDescent="0.25">
      <c r="A548" t="s">
        <v>81</v>
      </c>
      <c r="B548">
        <v>547</v>
      </c>
      <c r="C548">
        <v>107</v>
      </c>
      <c r="D548">
        <v>99</v>
      </c>
      <c r="E548">
        <v>112</v>
      </c>
      <c r="F548">
        <v>116</v>
      </c>
      <c r="G548">
        <v>310</v>
      </c>
      <c r="H548">
        <v>437</v>
      </c>
      <c r="I548" t="s">
        <v>1257</v>
      </c>
      <c r="J548" t="s">
        <v>197</v>
      </c>
      <c r="M548" t="s">
        <v>85</v>
      </c>
      <c r="O548" t="s">
        <v>14</v>
      </c>
      <c r="P548" t="s">
        <v>1247</v>
      </c>
      <c r="Q548" t="s">
        <v>1248</v>
      </c>
      <c r="R548">
        <v>2001</v>
      </c>
      <c r="S548" t="s">
        <v>200</v>
      </c>
      <c r="U548" t="s">
        <v>1249</v>
      </c>
      <c r="V548" t="s">
        <v>1250</v>
      </c>
      <c r="W548" t="s">
        <v>91</v>
      </c>
      <c r="X548" t="s">
        <v>126</v>
      </c>
      <c r="Y548" t="s">
        <v>190</v>
      </c>
      <c r="Z548" t="s">
        <v>191</v>
      </c>
      <c r="AA548" t="s">
        <v>192</v>
      </c>
      <c r="AB548" t="s">
        <v>1251</v>
      </c>
      <c r="AC548" t="s">
        <v>1252</v>
      </c>
      <c r="AD548" t="s">
        <v>132</v>
      </c>
      <c r="AE548" t="s">
        <v>133</v>
      </c>
      <c r="AF548" t="s">
        <v>100</v>
      </c>
      <c r="AG548" t="s">
        <v>102</v>
      </c>
      <c r="AH548" t="s">
        <v>102</v>
      </c>
      <c r="AI548" t="s">
        <v>134</v>
      </c>
      <c r="AJ548" t="s">
        <v>135</v>
      </c>
      <c r="AM548" t="s">
        <v>136</v>
      </c>
      <c r="AN548" t="s">
        <v>137</v>
      </c>
      <c r="AU548">
        <f>(2.4+19.8)/2</f>
        <v>11.1</v>
      </c>
      <c r="AW548" t="s">
        <v>108</v>
      </c>
      <c r="AX548">
        <v>13.6</v>
      </c>
      <c r="AY548" t="s">
        <v>134</v>
      </c>
      <c r="AZ548" t="s">
        <v>212</v>
      </c>
      <c r="BA548" t="s">
        <v>142</v>
      </c>
      <c r="BB548">
        <v>13.6</v>
      </c>
      <c r="BC548">
        <v>18</v>
      </c>
      <c r="BD548">
        <f t="shared" si="26"/>
        <v>0.55000000000000004</v>
      </c>
      <c r="BE548" t="s">
        <v>111</v>
      </c>
      <c r="BF548">
        <v>90</v>
      </c>
      <c r="BG548">
        <v>0.2</v>
      </c>
      <c r="BH548">
        <v>96</v>
      </c>
      <c r="BI548">
        <v>4</v>
      </c>
      <c r="BJ548">
        <v>2.5</v>
      </c>
      <c r="BK548">
        <v>10</v>
      </c>
      <c r="BO548">
        <v>7.55</v>
      </c>
      <c r="BS548" t="s">
        <v>265</v>
      </c>
      <c r="BU548" t="s">
        <v>1260</v>
      </c>
      <c r="BV548">
        <v>23.667090000000002</v>
      </c>
      <c r="BW548">
        <v>9.3102099999999993E-2</v>
      </c>
      <c r="BX548">
        <v>10</v>
      </c>
      <c r="BY548">
        <v>23.58099</v>
      </c>
      <c r="BZ548">
        <v>9.0603900000000001E-2</v>
      </c>
      <c r="CA548">
        <v>10</v>
      </c>
      <c r="CB548" t="s">
        <v>215</v>
      </c>
      <c r="CC548" t="s">
        <v>1259</v>
      </c>
    </row>
    <row r="549" spans="1:81" x14ac:dyDescent="0.25">
      <c r="A549" t="s">
        <v>81</v>
      </c>
      <c r="B549">
        <v>548</v>
      </c>
      <c r="C549">
        <v>107</v>
      </c>
      <c r="D549">
        <v>99</v>
      </c>
      <c r="E549">
        <v>113</v>
      </c>
      <c r="F549">
        <v>117</v>
      </c>
      <c r="G549">
        <v>311</v>
      </c>
      <c r="H549">
        <v>438</v>
      </c>
      <c r="I549" t="s">
        <v>1257</v>
      </c>
      <c r="J549" t="s">
        <v>197</v>
      </c>
      <c r="M549" t="s">
        <v>85</v>
      </c>
      <c r="O549" t="s">
        <v>14</v>
      </c>
      <c r="P549" t="s">
        <v>1247</v>
      </c>
      <c r="Q549" t="s">
        <v>1248</v>
      </c>
      <c r="R549">
        <v>2001</v>
      </c>
      <c r="S549" t="s">
        <v>200</v>
      </c>
      <c r="U549" t="s">
        <v>1249</v>
      </c>
      <c r="V549" t="s">
        <v>1250</v>
      </c>
      <c r="W549" t="s">
        <v>91</v>
      </c>
      <c r="X549" t="s">
        <v>126</v>
      </c>
      <c r="Y549" t="s">
        <v>190</v>
      </c>
      <c r="Z549" t="s">
        <v>191</v>
      </c>
      <c r="AA549" t="s">
        <v>192</v>
      </c>
      <c r="AB549" t="s">
        <v>1251</v>
      </c>
      <c r="AC549" t="s">
        <v>1252</v>
      </c>
      <c r="AD549" t="s">
        <v>132</v>
      </c>
      <c r="AE549" t="s">
        <v>133</v>
      </c>
      <c r="AF549" t="s">
        <v>100</v>
      </c>
      <c r="AG549" t="s">
        <v>102</v>
      </c>
      <c r="AH549" t="s">
        <v>102</v>
      </c>
      <c r="AI549" t="s">
        <v>134</v>
      </c>
      <c r="AJ549" t="s">
        <v>135</v>
      </c>
      <c r="AM549" t="s">
        <v>136</v>
      </c>
      <c r="AN549" t="s">
        <v>137</v>
      </c>
      <c r="AU549">
        <f>(4.5+17.6)/2</f>
        <v>11.05</v>
      </c>
      <c r="AW549" t="s">
        <v>108</v>
      </c>
      <c r="AX549">
        <v>13.6</v>
      </c>
      <c r="AY549" t="s">
        <v>134</v>
      </c>
      <c r="AZ549" t="s">
        <v>212</v>
      </c>
      <c r="BA549" t="s">
        <v>142</v>
      </c>
      <c r="BB549">
        <v>13.6</v>
      </c>
      <c r="BC549">
        <v>18</v>
      </c>
      <c r="BD549">
        <f t="shared" si="26"/>
        <v>0.55000000000000004</v>
      </c>
      <c r="BE549" t="s">
        <v>111</v>
      </c>
      <c r="BF549">
        <v>90</v>
      </c>
      <c r="BG549">
        <v>0.2</v>
      </c>
      <c r="BH549">
        <v>96</v>
      </c>
      <c r="BI549">
        <v>4</v>
      </c>
      <c r="BJ549">
        <v>2.5</v>
      </c>
      <c r="BK549">
        <v>10</v>
      </c>
      <c r="BO549">
        <v>7.55</v>
      </c>
      <c r="BS549" t="s">
        <v>265</v>
      </c>
      <c r="BU549" t="s">
        <v>1261</v>
      </c>
      <c r="BV549">
        <v>23.7241</v>
      </c>
      <c r="BW549">
        <v>0.1741992</v>
      </c>
      <c r="BX549">
        <v>10</v>
      </c>
      <c r="BY549">
        <v>24.003329999999998</v>
      </c>
      <c r="BZ549">
        <v>0.10825460000000001</v>
      </c>
      <c r="CA549">
        <v>10</v>
      </c>
      <c r="CB549" t="s">
        <v>215</v>
      </c>
      <c r="CC549" t="s">
        <v>1259</v>
      </c>
    </row>
    <row r="550" spans="1:81" x14ac:dyDescent="0.25">
      <c r="A550" t="s">
        <v>81</v>
      </c>
      <c r="B550">
        <v>549</v>
      </c>
      <c r="C550">
        <v>110</v>
      </c>
      <c r="D550">
        <v>105</v>
      </c>
      <c r="E550">
        <v>114</v>
      </c>
      <c r="F550">
        <v>118</v>
      </c>
      <c r="G550">
        <v>312</v>
      </c>
      <c r="H550">
        <v>439</v>
      </c>
      <c r="I550" t="s">
        <v>322</v>
      </c>
      <c r="J550" t="s">
        <v>285</v>
      </c>
      <c r="L550" t="s">
        <v>1262</v>
      </c>
      <c r="M550" t="s">
        <v>85</v>
      </c>
      <c r="O550" t="s">
        <v>14</v>
      </c>
      <c r="P550" t="s">
        <v>1263</v>
      </c>
      <c r="Q550" t="s">
        <v>1264</v>
      </c>
      <c r="R550">
        <v>2013</v>
      </c>
      <c r="S550" t="s">
        <v>716</v>
      </c>
      <c r="U550" t="s">
        <v>1265</v>
      </c>
      <c r="V550" t="s">
        <v>1266</v>
      </c>
      <c r="W550" t="s">
        <v>1267</v>
      </c>
      <c r="X550" t="s">
        <v>1268</v>
      </c>
      <c r="Y550" t="s">
        <v>1269</v>
      </c>
      <c r="Z550" t="s">
        <v>1270</v>
      </c>
      <c r="AA550" t="s">
        <v>1271</v>
      </c>
      <c r="AB550" t="s">
        <v>1272</v>
      </c>
      <c r="AC550" t="s">
        <v>1273</v>
      </c>
      <c r="AD550" t="s">
        <v>132</v>
      </c>
      <c r="AE550" t="s">
        <v>316</v>
      </c>
      <c r="AF550" t="s">
        <v>100</v>
      </c>
      <c r="AG550" t="s">
        <v>102</v>
      </c>
      <c r="AH550" t="s">
        <v>102</v>
      </c>
      <c r="AI550" t="s">
        <v>103</v>
      </c>
      <c r="AJ550" t="s">
        <v>135</v>
      </c>
      <c r="AK550">
        <v>14</v>
      </c>
      <c r="AL550">
        <v>16</v>
      </c>
      <c r="AM550" t="s">
        <v>229</v>
      </c>
      <c r="AN550" t="s">
        <v>700</v>
      </c>
      <c r="AU550">
        <f>(8.31428571+10.32380952)/2</f>
        <v>9.3190476149999988</v>
      </c>
      <c r="AV550">
        <f>(365/2)+14-40+14</f>
        <v>170.5</v>
      </c>
      <c r="AW550" t="s">
        <v>108</v>
      </c>
      <c r="AX550">
        <v>16</v>
      </c>
      <c r="AY550" t="s">
        <v>134</v>
      </c>
      <c r="AZ550" t="s">
        <v>109</v>
      </c>
      <c r="BA550" t="s">
        <v>138</v>
      </c>
      <c r="BB550">
        <v>16</v>
      </c>
      <c r="BC550">
        <v>21</v>
      </c>
      <c r="BE550" t="s">
        <v>139</v>
      </c>
      <c r="BF550">
        <v>40</v>
      </c>
      <c r="BG550">
        <v>0.3</v>
      </c>
      <c r="BN550">
        <v>31</v>
      </c>
      <c r="BO550">
        <f>(7.8+8.2)/2</f>
        <v>8</v>
      </c>
      <c r="BP550">
        <v>12</v>
      </c>
      <c r="BS550" t="s">
        <v>265</v>
      </c>
      <c r="BU550" t="s">
        <v>1274</v>
      </c>
      <c r="BV550">
        <v>33.053800000000003</v>
      </c>
      <c r="BW550">
        <v>0.23020930000000001</v>
      </c>
      <c r="BX550">
        <v>3</v>
      </c>
      <c r="BY550">
        <v>34.060130000000001</v>
      </c>
      <c r="BZ550">
        <v>0.60841029999999996</v>
      </c>
      <c r="CA550">
        <v>3</v>
      </c>
      <c r="CB550" t="s">
        <v>113</v>
      </c>
      <c r="CC550" t="s">
        <v>319</v>
      </c>
    </row>
    <row r="551" spans="1:81" x14ac:dyDescent="0.25">
      <c r="A551" t="s">
        <v>81</v>
      </c>
      <c r="B551">
        <v>550</v>
      </c>
      <c r="C551">
        <v>110</v>
      </c>
      <c r="D551">
        <v>105</v>
      </c>
      <c r="E551">
        <v>114</v>
      </c>
      <c r="F551">
        <v>118</v>
      </c>
      <c r="G551">
        <v>312</v>
      </c>
      <c r="H551">
        <v>440</v>
      </c>
      <c r="I551" t="s">
        <v>322</v>
      </c>
      <c r="J551" t="s">
        <v>285</v>
      </c>
      <c r="L551" t="s">
        <v>1262</v>
      </c>
      <c r="M551" t="s">
        <v>85</v>
      </c>
      <c r="O551" t="s">
        <v>14</v>
      </c>
      <c r="P551" t="s">
        <v>1263</v>
      </c>
      <c r="Q551" t="s">
        <v>1264</v>
      </c>
      <c r="R551">
        <v>2013</v>
      </c>
      <c r="S551" t="s">
        <v>716</v>
      </c>
      <c r="U551" t="s">
        <v>1265</v>
      </c>
      <c r="V551" t="s">
        <v>1266</v>
      </c>
      <c r="W551" t="s">
        <v>1267</v>
      </c>
      <c r="X551" t="s">
        <v>1268</v>
      </c>
      <c r="Y551" t="s">
        <v>1269</v>
      </c>
      <c r="Z551" t="s">
        <v>1270</v>
      </c>
      <c r="AA551" t="s">
        <v>1271</v>
      </c>
      <c r="AB551" t="s">
        <v>1272</v>
      </c>
      <c r="AC551" t="s">
        <v>1273</v>
      </c>
      <c r="AD551" t="s">
        <v>132</v>
      </c>
      <c r="AE551" t="s">
        <v>316</v>
      </c>
      <c r="AF551" t="s">
        <v>100</v>
      </c>
      <c r="AG551" t="s">
        <v>102</v>
      </c>
      <c r="AH551" t="s">
        <v>102</v>
      </c>
      <c r="AI551" t="s">
        <v>103</v>
      </c>
      <c r="AJ551" t="s">
        <v>135</v>
      </c>
      <c r="AK551">
        <v>14</v>
      </c>
      <c r="AL551">
        <v>16</v>
      </c>
      <c r="AM551" t="s">
        <v>229</v>
      </c>
      <c r="AN551" t="s">
        <v>700</v>
      </c>
      <c r="AU551">
        <f>(10.32380952+11.95238095)/2</f>
        <v>11.138095235</v>
      </c>
      <c r="AV551">
        <f>(365/2)+14-40+14</f>
        <v>170.5</v>
      </c>
      <c r="AW551" t="s">
        <v>108</v>
      </c>
      <c r="AX551">
        <v>16</v>
      </c>
      <c r="AY551" t="s">
        <v>103</v>
      </c>
      <c r="AZ551" t="s">
        <v>109</v>
      </c>
      <c r="BA551" t="s">
        <v>138</v>
      </c>
      <c r="BB551">
        <v>21</v>
      </c>
      <c r="BC551">
        <v>26</v>
      </c>
      <c r="BE551" t="s">
        <v>139</v>
      </c>
      <c r="BF551">
        <v>40</v>
      </c>
      <c r="BG551">
        <v>0.3</v>
      </c>
      <c r="BN551">
        <v>31</v>
      </c>
      <c r="BO551">
        <f>(7.8+8.2)/2</f>
        <v>8</v>
      </c>
      <c r="BP551">
        <v>12</v>
      </c>
      <c r="BU551" t="s">
        <v>1275</v>
      </c>
      <c r="BV551">
        <v>34.060130000000001</v>
      </c>
      <c r="BW551">
        <v>0.60841029999999996</v>
      </c>
      <c r="BX551">
        <v>3</v>
      </c>
      <c r="BY551">
        <v>36.556959999999997</v>
      </c>
      <c r="BZ551">
        <v>1.0852723</v>
      </c>
      <c r="CA551">
        <v>3</v>
      </c>
      <c r="CB551" t="s">
        <v>113</v>
      </c>
      <c r="CC551" t="s">
        <v>319</v>
      </c>
    </row>
    <row r="552" spans="1:81" x14ac:dyDescent="0.25">
      <c r="A552" t="s">
        <v>81</v>
      </c>
      <c r="B552">
        <v>551</v>
      </c>
      <c r="C552">
        <v>112</v>
      </c>
      <c r="D552">
        <v>19</v>
      </c>
      <c r="E552">
        <v>115</v>
      </c>
      <c r="F552">
        <v>119</v>
      </c>
      <c r="G552">
        <v>313</v>
      </c>
      <c r="H552">
        <v>441</v>
      </c>
      <c r="J552" t="s">
        <v>1276</v>
      </c>
      <c r="L552" t="s">
        <v>1277</v>
      </c>
      <c r="M552" t="s">
        <v>85</v>
      </c>
      <c r="O552" t="s">
        <v>14</v>
      </c>
      <c r="P552" t="s">
        <v>1278</v>
      </c>
      <c r="Q552" t="s">
        <v>1279</v>
      </c>
      <c r="R552">
        <v>2020</v>
      </c>
      <c r="S552" t="s">
        <v>146</v>
      </c>
      <c r="U552" t="s">
        <v>1280</v>
      </c>
      <c r="V552" t="s">
        <v>1281</v>
      </c>
      <c r="W552" t="s">
        <v>91</v>
      </c>
      <c r="X552" t="s">
        <v>126</v>
      </c>
      <c r="Y552" t="s">
        <v>434</v>
      </c>
      <c r="Z552" t="s">
        <v>1282</v>
      </c>
      <c r="AA552" t="s">
        <v>1283</v>
      </c>
      <c r="AB552" t="s">
        <v>1284</v>
      </c>
      <c r="AC552" t="s">
        <v>1285</v>
      </c>
      <c r="AD552" t="s">
        <v>132</v>
      </c>
      <c r="AE552" t="s">
        <v>133</v>
      </c>
      <c r="AF552" t="s">
        <v>100</v>
      </c>
      <c r="AG552" t="s">
        <v>102</v>
      </c>
      <c r="AH552" t="s">
        <v>102</v>
      </c>
      <c r="AI552" t="s">
        <v>134</v>
      </c>
      <c r="AJ552" t="s">
        <v>135</v>
      </c>
      <c r="AM552" t="s">
        <v>136</v>
      </c>
      <c r="AN552" t="s">
        <v>1286</v>
      </c>
      <c r="AR552" t="s">
        <v>179</v>
      </c>
      <c r="AS552">
        <v>2015</v>
      </c>
      <c r="AW552" t="s">
        <v>108</v>
      </c>
      <c r="AZ552" t="s">
        <v>109</v>
      </c>
      <c r="BA552" t="s">
        <v>138</v>
      </c>
      <c r="BB552">
        <v>24</v>
      </c>
      <c r="BC552">
        <v>30</v>
      </c>
      <c r="BD552">
        <f>(1.1+1.3)/2</f>
        <v>1.2000000000000002</v>
      </c>
      <c r="BE552" t="s">
        <v>111</v>
      </c>
      <c r="BF552">
        <v>30</v>
      </c>
      <c r="BG552">
        <v>0.33</v>
      </c>
      <c r="BU552" t="s">
        <v>1287</v>
      </c>
      <c r="BV552">
        <v>36.130749999999999</v>
      </c>
      <c r="BW552">
        <v>0.70456300000000005</v>
      </c>
      <c r="BX552">
        <v>12</v>
      </c>
      <c r="BY552">
        <v>39.864409999999999</v>
      </c>
      <c r="BZ552">
        <v>0.27179110000000001</v>
      </c>
      <c r="CA552">
        <v>14</v>
      </c>
      <c r="CB552" t="s">
        <v>113</v>
      </c>
      <c r="CC552" t="s">
        <v>319</v>
      </c>
    </row>
    <row r="553" spans="1:81" x14ac:dyDescent="0.25">
      <c r="A553" t="s">
        <v>81</v>
      </c>
      <c r="B553">
        <v>552</v>
      </c>
      <c r="C553">
        <v>112</v>
      </c>
      <c r="D553">
        <v>19</v>
      </c>
      <c r="E553">
        <v>116</v>
      </c>
      <c r="F553">
        <v>120</v>
      </c>
      <c r="G553">
        <v>314</v>
      </c>
      <c r="H553">
        <v>442</v>
      </c>
      <c r="J553" t="s">
        <v>1276</v>
      </c>
      <c r="L553" t="s">
        <v>1277</v>
      </c>
      <c r="M553" t="s">
        <v>85</v>
      </c>
      <c r="O553" t="s">
        <v>14</v>
      </c>
      <c r="P553" t="s">
        <v>1278</v>
      </c>
      <c r="Q553" t="s">
        <v>1279</v>
      </c>
      <c r="R553">
        <v>2020</v>
      </c>
      <c r="S553" t="s">
        <v>146</v>
      </c>
      <c r="U553" t="s">
        <v>1280</v>
      </c>
      <c r="V553" t="s">
        <v>1281</v>
      </c>
      <c r="W553" t="s">
        <v>91</v>
      </c>
      <c r="X553" t="s">
        <v>126</v>
      </c>
      <c r="Y553" t="s">
        <v>434</v>
      </c>
      <c r="Z553" t="s">
        <v>1282</v>
      </c>
      <c r="AA553" t="s">
        <v>1283</v>
      </c>
      <c r="AB553" t="s">
        <v>1284</v>
      </c>
      <c r="AC553" t="s">
        <v>1285</v>
      </c>
      <c r="AD553" t="s">
        <v>132</v>
      </c>
      <c r="AE553" t="s">
        <v>133</v>
      </c>
      <c r="AF553" t="s">
        <v>100</v>
      </c>
      <c r="AG553" t="s">
        <v>102</v>
      </c>
      <c r="AH553" t="s">
        <v>102</v>
      </c>
      <c r="AI553" t="s">
        <v>134</v>
      </c>
      <c r="AJ553" t="s">
        <v>135</v>
      </c>
      <c r="AM553" t="s">
        <v>136</v>
      </c>
      <c r="AN553" t="s">
        <v>1286</v>
      </c>
      <c r="AR553" t="s">
        <v>179</v>
      </c>
      <c r="AS553">
        <v>2015</v>
      </c>
      <c r="AW553" t="s">
        <v>108</v>
      </c>
      <c r="AZ553" t="s">
        <v>109</v>
      </c>
      <c r="BA553" t="s">
        <v>138</v>
      </c>
      <c r="BB553">
        <v>24</v>
      </c>
      <c r="BC553">
        <v>30</v>
      </c>
      <c r="BD553">
        <f>(1.1+1.3)/2</f>
        <v>1.2000000000000002</v>
      </c>
      <c r="BE553" t="s">
        <v>111</v>
      </c>
      <c r="BF553">
        <v>30</v>
      </c>
      <c r="BG553">
        <v>0.33</v>
      </c>
      <c r="BU553" t="s">
        <v>1288</v>
      </c>
      <c r="BV553">
        <v>36.217919999999999</v>
      </c>
      <c r="BW553">
        <v>1.1574964000000001</v>
      </c>
      <c r="BX553">
        <v>12</v>
      </c>
      <c r="BY553">
        <v>39.864409999999999</v>
      </c>
      <c r="BZ553">
        <v>0.30195559999999999</v>
      </c>
      <c r="CA553">
        <v>12</v>
      </c>
      <c r="CB553" t="s">
        <v>113</v>
      </c>
      <c r="CC553" t="s">
        <v>319</v>
      </c>
    </row>
    <row r="554" spans="1:81" x14ac:dyDescent="0.25">
      <c r="A554" t="s">
        <v>81</v>
      </c>
      <c r="B554">
        <v>553</v>
      </c>
      <c r="C554">
        <v>112</v>
      </c>
      <c r="D554">
        <v>19</v>
      </c>
      <c r="E554">
        <v>117</v>
      </c>
      <c r="F554">
        <v>121</v>
      </c>
      <c r="G554">
        <v>315</v>
      </c>
      <c r="H554">
        <v>443</v>
      </c>
      <c r="J554" t="s">
        <v>1276</v>
      </c>
      <c r="L554" t="s">
        <v>1277</v>
      </c>
      <c r="M554" t="s">
        <v>85</v>
      </c>
      <c r="O554" t="s">
        <v>14</v>
      </c>
      <c r="P554" t="s">
        <v>1278</v>
      </c>
      <c r="Q554" t="s">
        <v>1279</v>
      </c>
      <c r="R554">
        <v>2020</v>
      </c>
      <c r="S554" t="s">
        <v>146</v>
      </c>
      <c r="U554" t="s">
        <v>1280</v>
      </c>
      <c r="V554" t="s">
        <v>1281</v>
      </c>
      <c r="W554" t="s">
        <v>91</v>
      </c>
      <c r="X554" t="s">
        <v>126</v>
      </c>
      <c r="Y554" t="s">
        <v>434</v>
      </c>
      <c r="Z554" t="s">
        <v>1282</v>
      </c>
      <c r="AA554" t="s">
        <v>1283</v>
      </c>
      <c r="AB554" t="s">
        <v>1284</v>
      </c>
      <c r="AC554" t="s">
        <v>1285</v>
      </c>
      <c r="AD554" t="s">
        <v>132</v>
      </c>
      <c r="AE554" t="s">
        <v>133</v>
      </c>
      <c r="AF554" t="s">
        <v>100</v>
      </c>
      <c r="AG554" t="s">
        <v>102</v>
      </c>
      <c r="AH554" t="s">
        <v>102</v>
      </c>
      <c r="AI554" t="s">
        <v>134</v>
      </c>
      <c r="AJ554" t="s">
        <v>135</v>
      </c>
      <c r="AM554" t="s">
        <v>136</v>
      </c>
      <c r="AN554" t="s">
        <v>1286</v>
      </c>
      <c r="AR554" t="s">
        <v>179</v>
      </c>
      <c r="AS554">
        <v>2015</v>
      </c>
      <c r="AW554" t="s">
        <v>108</v>
      </c>
      <c r="AZ554" t="s">
        <v>109</v>
      </c>
      <c r="BA554" t="s">
        <v>138</v>
      </c>
      <c r="BB554">
        <v>24</v>
      </c>
      <c r="BC554">
        <v>30</v>
      </c>
      <c r="BD554">
        <f>(1.1+1.3)/2</f>
        <v>1.2000000000000002</v>
      </c>
      <c r="BE554" t="s">
        <v>111</v>
      </c>
      <c r="BF554">
        <v>30</v>
      </c>
      <c r="BG554">
        <v>0.33</v>
      </c>
      <c r="BU554" t="s">
        <v>1289</v>
      </c>
      <c r="BV554">
        <v>35.636800000000001</v>
      </c>
      <c r="BW554">
        <v>1.1071705000000001</v>
      </c>
      <c r="BX554">
        <v>12</v>
      </c>
      <c r="BY554">
        <v>39.152540000000002</v>
      </c>
      <c r="BZ554">
        <v>0.78099839999999998</v>
      </c>
      <c r="CA554">
        <v>10</v>
      </c>
      <c r="CB554" t="s">
        <v>113</v>
      </c>
      <c r="CC554" t="s">
        <v>319</v>
      </c>
    </row>
    <row r="555" spans="1:81" x14ac:dyDescent="0.25">
      <c r="A555" t="s">
        <v>81</v>
      </c>
      <c r="B555">
        <v>554</v>
      </c>
      <c r="C555">
        <v>113</v>
      </c>
      <c r="D555">
        <v>106</v>
      </c>
      <c r="E555">
        <v>118</v>
      </c>
      <c r="F555">
        <v>122</v>
      </c>
      <c r="G555">
        <v>316</v>
      </c>
      <c r="H555">
        <v>444</v>
      </c>
      <c r="I555" t="s">
        <v>322</v>
      </c>
      <c r="J555" t="s">
        <v>184</v>
      </c>
      <c r="L555" t="s">
        <v>1290</v>
      </c>
      <c r="M555" t="s">
        <v>85</v>
      </c>
      <c r="O555" t="s">
        <v>14</v>
      </c>
      <c r="P555" t="s">
        <v>1291</v>
      </c>
      <c r="Q555" t="s">
        <v>1292</v>
      </c>
      <c r="R555">
        <v>2013</v>
      </c>
      <c r="S555" t="s">
        <v>1293</v>
      </c>
      <c r="U555" t="s">
        <v>1294</v>
      </c>
      <c r="V555" t="s">
        <v>1295</v>
      </c>
      <c r="W555" t="s">
        <v>91</v>
      </c>
      <c r="X555" t="s">
        <v>92</v>
      </c>
      <c r="Y555" t="s">
        <v>345</v>
      </c>
      <c r="Z555" t="s">
        <v>1296</v>
      </c>
      <c r="AA555" t="s">
        <v>1297</v>
      </c>
      <c r="AB555" t="s">
        <v>1298</v>
      </c>
      <c r="AC555" t="s">
        <v>1299</v>
      </c>
      <c r="AD555" t="s">
        <v>132</v>
      </c>
      <c r="AE555" t="s">
        <v>99</v>
      </c>
      <c r="AF555" t="s">
        <v>100</v>
      </c>
      <c r="AG555" t="s">
        <v>102</v>
      </c>
      <c r="AH555" t="s">
        <v>102</v>
      </c>
      <c r="AI555" t="s">
        <v>134</v>
      </c>
      <c r="AJ555" t="s">
        <v>135</v>
      </c>
      <c r="AM555" t="s">
        <v>136</v>
      </c>
      <c r="AN555" t="s">
        <v>106</v>
      </c>
      <c r="AW555" t="s">
        <v>108</v>
      </c>
      <c r="AX555">
        <v>28</v>
      </c>
      <c r="AY555" t="s">
        <v>103</v>
      </c>
      <c r="AZ555" t="s">
        <v>109</v>
      </c>
      <c r="BA555" t="s">
        <v>110</v>
      </c>
      <c r="BB555">
        <v>10</v>
      </c>
      <c r="BC555">
        <v>20</v>
      </c>
      <c r="BE555" t="s">
        <v>139</v>
      </c>
      <c r="BF555">
        <f>28+7+7</f>
        <v>42</v>
      </c>
      <c r="BG555">
        <v>0.1</v>
      </c>
      <c r="BP555">
        <v>11</v>
      </c>
      <c r="BR555" t="s">
        <v>69</v>
      </c>
      <c r="BU555" t="s">
        <v>1300</v>
      </c>
      <c r="BV555">
        <v>38.904899999999998</v>
      </c>
      <c r="BW555">
        <v>0.50371520000000003</v>
      </c>
      <c r="BX555">
        <v>22</v>
      </c>
      <c r="BY555">
        <v>41.33135</v>
      </c>
      <c r="BZ555">
        <v>0.85307599999999995</v>
      </c>
      <c r="CA555">
        <v>22</v>
      </c>
      <c r="CB555" t="s">
        <v>113</v>
      </c>
      <c r="CC555" t="s">
        <v>451</v>
      </c>
    </row>
    <row r="556" spans="1:81" x14ac:dyDescent="0.25">
      <c r="A556" t="s">
        <v>81</v>
      </c>
      <c r="B556">
        <v>555</v>
      </c>
      <c r="C556">
        <v>113</v>
      </c>
      <c r="D556">
        <v>106</v>
      </c>
      <c r="E556">
        <v>118</v>
      </c>
      <c r="F556">
        <v>122</v>
      </c>
      <c r="G556">
        <v>316</v>
      </c>
      <c r="H556">
        <v>445</v>
      </c>
      <c r="I556" t="s">
        <v>322</v>
      </c>
      <c r="J556" t="s">
        <v>184</v>
      </c>
      <c r="L556" t="s">
        <v>1290</v>
      </c>
      <c r="M556" t="s">
        <v>85</v>
      </c>
      <c r="O556" t="s">
        <v>14</v>
      </c>
      <c r="P556" t="s">
        <v>1291</v>
      </c>
      <c r="Q556" t="s">
        <v>1292</v>
      </c>
      <c r="R556">
        <v>2013</v>
      </c>
      <c r="S556" t="s">
        <v>1293</v>
      </c>
      <c r="U556" t="s">
        <v>1294</v>
      </c>
      <c r="V556" t="s">
        <v>1295</v>
      </c>
      <c r="W556" t="s">
        <v>91</v>
      </c>
      <c r="X556" t="s">
        <v>92</v>
      </c>
      <c r="Y556" t="s">
        <v>345</v>
      </c>
      <c r="Z556" t="s">
        <v>1296</v>
      </c>
      <c r="AA556" t="s">
        <v>1297</v>
      </c>
      <c r="AB556" t="s">
        <v>1298</v>
      </c>
      <c r="AC556" t="s">
        <v>1299</v>
      </c>
      <c r="AD556" t="s">
        <v>132</v>
      </c>
      <c r="AE556" t="s">
        <v>99</v>
      </c>
      <c r="AF556" t="s">
        <v>100</v>
      </c>
      <c r="AG556" t="s">
        <v>102</v>
      </c>
      <c r="AH556" t="s">
        <v>102</v>
      </c>
      <c r="AI556" t="s">
        <v>134</v>
      </c>
      <c r="AJ556" t="s">
        <v>135</v>
      </c>
      <c r="AM556" t="s">
        <v>136</v>
      </c>
      <c r="AN556" t="s">
        <v>106</v>
      </c>
      <c r="AW556" t="s">
        <v>108</v>
      </c>
      <c r="AX556">
        <v>28</v>
      </c>
      <c r="AY556" t="s">
        <v>103</v>
      </c>
      <c r="AZ556" t="s">
        <v>109</v>
      </c>
      <c r="BA556" t="s">
        <v>110</v>
      </c>
      <c r="BB556">
        <v>20</v>
      </c>
      <c r="BC556">
        <v>30</v>
      </c>
      <c r="BE556" t="s">
        <v>139</v>
      </c>
      <c r="BF556">
        <f>28+7+7</f>
        <v>42</v>
      </c>
      <c r="BG556">
        <v>0.1</v>
      </c>
      <c r="BP556">
        <v>11</v>
      </c>
      <c r="BR556" t="s">
        <v>69</v>
      </c>
      <c r="BU556" t="s">
        <v>1300</v>
      </c>
      <c r="BV556">
        <v>41.33135</v>
      </c>
      <c r="BW556">
        <v>0.85307599999999995</v>
      </c>
      <c r="BX556">
        <v>22</v>
      </c>
      <c r="BY556">
        <v>41.772660000000002</v>
      </c>
      <c r="BZ556">
        <v>0.67299189999999998</v>
      </c>
      <c r="CA556">
        <v>28</v>
      </c>
      <c r="CB556" t="s">
        <v>113</v>
      </c>
      <c r="CC556" t="s">
        <v>451</v>
      </c>
    </row>
    <row r="557" spans="1:81" x14ac:dyDescent="0.25">
      <c r="A557" t="s">
        <v>81</v>
      </c>
      <c r="B557">
        <v>556</v>
      </c>
      <c r="C557">
        <v>114</v>
      </c>
      <c r="D557">
        <v>21</v>
      </c>
      <c r="E557">
        <v>119</v>
      </c>
      <c r="F557">
        <v>123</v>
      </c>
      <c r="G557">
        <v>317</v>
      </c>
      <c r="H557">
        <v>446</v>
      </c>
      <c r="I557" t="s">
        <v>322</v>
      </c>
      <c r="J557" t="s">
        <v>972</v>
      </c>
      <c r="L557" t="s">
        <v>1301</v>
      </c>
      <c r="M557" t="s">
        <v>85</v>
      </c>
      <c r="O557" t="s">
        <v>14</v>
      </c>
      <c r="P557" t="s">
        <v>1302</v>
      </c>
      <c r="Q557" t="s">
        <v>1303</v>
      </c>
      <c r="R557">
        <v>2015</v>
      </c>
      <c r="S557" t="s">
        <v>146</v>
      </c>
      <c r="U557" t="s">
        <v>1304</v>
      </c>
      <c r="V557" t="s">
        <v>1305</v>
      </c>
      <c r="W557" t="s">
        <v>91</v>
      </c>
      <c r="X557" t="s">
        <v>92</v>
      </c>
      <c r="Y557" t="s">
        <v>345</v>
      </c>
      <c r="Z557" t="s">
        <v>346</v>
      </c>
      <c r="AA557" t="s">
        <v>347</v>
      </c>
      <c r="AB557" t="s">
        <v>348</v>
      </c>
      <c r="AC557" t="s">
        <v>349</v>
      </c>
      <c r="AD557" t="s">
        <v>132</v>
      </c>
      <c r="AE557" t="s">
        <v>99</v>
      </c>
      <c r="AF557" t="s">
        <v>100</v>
      </c>
      <c r="AG557" t="s">
        <v>102</v>
      </c>
      <c r="AH557" t="s">
        <v>102</v>
      </c>
      <c r="AI557" t="s">
        <v>134</v>
      </c>
      <c r="AJ557" t="s">
        <v>135</v>
      </c>
      <c r="AM557" t="s">
        <v>136</v>
      </c>
      <c r="AN557" t="s">
        <v>106</v>
      </c>
      <c r="AU557">
        <f>(24.4+25.7)/2</f>
        <v>25.049999999999997</v>
      </c>
      <c r="AW557" t="s">
        <v>108</v>
      </c>
      <c r="AX557">
        <v>29</v>
      </c>
      <c r="AY557" t="s">
        <v>103</v>
      </c>
      <c r="AZ557" t="s">
        <v>109</v>
      </c>
      <c r="BA557" t="s">
        <v>110</v>
      </c>
      <c r="BB557">
        <v>17</v>
      </c>
      <c r="BC557">
        <v>25</v>
      </c>
      <c r="BE557" t="s">
        <v>139</v>
      </c>
      <c r="BF557">
        <v>28</v>
      </c>
      <c r="BG557">
        <v>0.1</v>
      </c>
      <c r="BP557">
        <v>11</v>
      </c>
      <c r="BS557" t="s">
        <v>1306</v>
      </c>
      <c r="BU557" t="s">
        <v>1307</v>
      </c>
      <c r="BV557">
        <v>38.682929999999999</v>
      </c>
      <c r="BW557">
        <v>0.9255447</v>
      </c>
      <c r="BX557">
        <v>10</v>
      </c>
      <c r="BY557">
        <v>40.341459999999998</v>
      </c>
      <c r="BZ557">
        <v>0.8098516</v>
      </c>
      <c r="CA557">
        <v>10</v>
      </c>
      <c r="CB557" t="s">
        <v>113</v>
      </c>
      <c r="CC557" t="s">
        <v>451</v>
      </c>
    </row>
    <row r="558" spans="1:81" x14ac:dyDescent="0.25">
      <c r="A558" t="s">
        <v>81</v>
      </c>
      <c r="B558">
        <v>557</v>
      </c>
      <c r="C558">
        <v>114</v>
      </c>
      <c r="D558">
        <v>21</v>
      </c>
      <c r="E558">
        <v>119</v>
      </c>
      <c r="F558">
        <v>123</v>
      </c>
      <c r="G558">
        <v>317</v>
      </c>
      <c r="H558">
        <v>447</v>
      </c>
      <c r="I558" t="s">
        <v>322</v>
      </c>
      <c r="J558" t="s">
        <v>972</v>
      </c>
      <c r="L558" t="s">
        <v>1301</v>
      </c>
      <c r="M558" t="s">
        <v>85</v>
      </c>
      <c r="O558" t="s">
        <v>14</v>
      </c>
      <c r="P558" t="s">
        <v>1302</v>
      </c>
      <c r="Q558" t="s">
        <v>1303</v>
      </c>
      <c r="R558">
        <v>2015</v>
      </c>
      <c r="S558" t="s">
        <v>146</v>
      </c>
      <c r="U558" t="s">
        <v>1304</v>
      </c>
      <c r="V558" t="s">
        <v>1305</v>
      </c>
      <c r="W558" t="s">
        <v>91</v>
      </c>
      <c r="X558" t="s">
        <v>92</v>
      </c>
      <c r="Y558" t="s">
        <v>345</v>
      </c>
      <c r="Z558" t="s">
        <v>346</v>
      </c>
      <c r="AA558" t="s">
        <v>347</v>
      </c>
      <c r="AB558" t="s">
        <v>348</v>
      </c>
      <c r="AC558" t="s">
        <v>349</v>
      </c>
      <c r="AD558" t="s">
        <v>132</v>
      </c>
      <c r="AE558" t="s">
        <v>99</v>
      </c>
      <c r="AF558" t="s">
        <v>100</v>
      </c>
      <c r="AG558" t="s">
        <v>102</v>
      </c>
      <c r="AH558" t="s">
        <v>102</v>
      </c>
      <c r="AI558" t="s">
        <v>134</v>
      </c>
      <c r="AJ558" t="s">
        <v>135</v>
      </c>
      <c r="AM558" t="s">
        <v>136</v>
      </c>
      <c r="AN558" t="s">
        <v>106</v>
      </c>
      <c r="AU558">
        <f>(25.7+26.9)/2</f>
        <v>26.299999999999997</v>
      </c>
      <c r="AW558" t="s">
        <v>108</v>
      </c>
      <c r="AX558">
        <v>29</v>
      </c>
      <c r="AY558" t="s">
        <v>103</v>
      </c>
      <c r="AZ558" t="s">
        <v>109</v>
      </c>
      <c r="BA558" t="s">
        <v>110</v>
      </c>
      <c r="BB558">
        <v>25</v>
      </c>
      <c r="BC558">
        <v>33</v>
      </c>
      <c r="BE558" t="s">
        <v>139</v>
      </c>
      <c r="BF558">
        <v>28</v>
      </c>
      <c r="BG558">
        <v>0.1</v>
      </c>
      <c r="BP558">
        <v>11</v>
      </c>
      <c r="BS558" t="s">
        <v>1306</v>
      </c>
      <c r="BU558" t="s">
        <v>1307</v>
      </c>
      <c r="BV558">
        <v>40.341459999999998</v>
      </c>
      <c r="BW558">
        <v>0.8098516</v>
      </c>
      <c r="BX558">
        <v>10</v>
      </c>
      <c r="BY558">
        <v>41.292679999999997</v>
      </c>
      <c r="BZ558">
        <v>0.96410899999999999</v>
      </c>
      <c r="CA558">
        <v>10</v>
      </c>
      <c r="CB558" t="s">
        <v>113</v>
      </c>
      <c r="CC558" t="s">
        <v>451</v>
      </c>
    </row>
    <row r="559" spans="1:81" x14ac:dyDescent="0.25">
      <c r="A559" t="s">
        <v>81</v>
      </c>
      <c r="B559">
        <v>558</v>
      </c>
      <c r="C559">
        <v>115</v>
      </c>
      <c r="D559">
        <v>107</v>
      </c>
      <c r="E559">
        <v>120</v>
      </c>
      <c r="F559">
        <v>121</v>
      </c>
      <c r="G559">
        <v>318</v>
      </c>
      <c r="H559">
        <v>448</v>
      </c>
      <c r="J559" t="s">
        <v>83</v>
      </c>
      <c r="M559" t="s">
        <v>746</v>
      </c>
      <c r="N559" t="s">
        <v>1308</v>
      </c>
      <c r="O559" t="s">
        <v>14</v>
      </c>
      <c r="P559" t="s">
        <v>1309</v>
      </c>
      <c r="Q559" t="s">
        <v>1310</v>
      </c>
      <c r="R559">
        <v>2020</v>
      </c>
      <c r="S559" t="s">
        <v>775</v>
      </c>
      <c r="U559" t="s">
        <v>1311</v>
      </c>
      <c r="V559" t="s">
        <v>1312</v>
      </c>
      <c r="W559" t="s">
        <v>170</v>
      </c>
      <c r="X559" t="s">
        <v>171</v>
      </c>
      <c r="Y559" t="s">
        <v>1006</v>
      </c>
      <c r="Z559" t="s">
        <v>1007</v>
      </c>
      <c r="AA559" t="s">
        <v>1008</v>
      </c>
      <c r="AB559" t="s">
        <v>1313</v>
      </c>
      <c r="AC559" t="s">
        <v>1314</v>
      </c>
      <c r="AD559" t="s">
        <v>98</v>
      </c>
      <c r="AE559" t="s">
        <v>177</v>
      </c>
      <c r="AF559" t="s">
        <v>100</v>
      </c>
      <c r="AG559" t="s">
        <v>261</v>
      </c>
      <c r="AH559" t="s">
        <v>262</v>
      </c>
      <c r="AI559" t="s">
        <v>103</v>
      </c>
      <c r="AJ559" t="s">
        <v>104</v>
      </c>
      <c r="AK559">
        <v>5</v>
      </c>
      <c r="AL559">
        <v>23</v>
      </c>
      <c r="AM559" t="s">
        <v>263</v>
      </c>
      <c r="AN559" t="s">
        <v>106</v>
      </c>
      <c r="AS559">
        <v>2014</v>
      </c>
      <c r="AV559">
        <v>5</v>
      </c>
      <c r="AW559" t="s">
        <v>264</v>
      </c>
      <c r="AX559">
        <v>23</v>
      </c>
      <c r="AY559" t="s">
        <v>134</v>
      </c>
      <c r="AZ559" t="s">
        <v>109</v>
      </c>
      <c r="BA559" t="s">
        <v>142</v>
      </c>
      <c r="BB559">
        <v>23</v>
      </c>
      <c r="BC559">
        <v>28</v>
      </c>
      <c r="BE559" t="s">
        <v>139</v>
      </c>
      <c r="BG559">
        <v>0.1</v>
      </c>
      <c r="BL559">
        <v>70</v>
      </c>
      <c r="BP559">
        <v>16</v>
      </c>
      <c r="BS559" t="s">
        <v>265</v>
      </c>
      <c r="BU559" t="s">
        <v>1315</v>
      </c>
      <c r="BV559">
        <v>33.769089999999998</v>
      </c>
      <c r="BW559">
        <v>0.67958609999999997</v>
      </c>
      <c r="BX559">
        <v>22</v>
      </c>
      <c r="BY559">
        <v>34.091630000000002</v>
      </c>
      <c r="BZ559">
        <v>0.82071669999999997</v>
      </c>
      <c r="CA559">
        <v>43</v>
      </c>
      <c r="CB559" t="s">
        <v>113</v>
      </c>
      <c r="CC559" t="s">
        <v>1045</v>
      </c>
    </row>
    <row r="560" spans="1:81" x14ac:dyDescent="0.25">
      <c r="A560" t="s">
        <v>81</v>
      </c>
      <c r="B560">
        <v>559</v>
      </c>
      <c r="C560">
        <v>115</v>
      </c>
      <c r="D560">
        <v>107</v>
      </c>
      <c r="E560">
        <v>120</v>
      </c>
      <c r="F560">
        <v>121</v>
      </c>
      <c r="G560">
        <v>319</v>
      </c>
      <c r="H560">
        <v>449</v>
      </c>
      <c r="J560" t="s">
        <v>83</v>
      </c>
      <c r="M560" t="s">
        <v>746</v>
      </c>
      <c r="N560" t="s">
        <v>1308</v>
      </c>
      <c r="O560" t="s">
        <v>14</v>
      </c>
      <c r="P560" t="s">
        <v>1309</v>
      </c>
      <c r="Q560" t="s">
        <v>1310</v>
      </c>
      <c r="R560">
        <v>2020</v>
      </c>
      <c r="S560" t="s">
        <v>775</v>
      </c>
      <c r="U560" t="s">
        <v>1311</v>
      </c>
      <c r="V560" t="s">
        <v>1312</v>
      </c>
      <c r="W560" t="s">
        <v>170</v>
      </c>
      <c r="X560" t="s">
        <v>171</v>
      </c>
      <c r="Y560" t="s">
        <v>1006</v>
      </c>
      <c r="Z560" t="s">
        <v>1007</v>
      </c>
      <c r="AA560" t="s">
        <v>1008</v>
      </c>
      <c r="AB560" t="s">
        <v>1313</v>
      </c>
      <c r="AC560" t="s">
        <v>1314</v>
      </c>
      <c r="AD560" t="s">
        <v>98</v>
      </c>
      <c r="AE560" t="s">
        <v>177</v>
      </c>
      <c r="AF560" t="s">
        <v>100</v>
      </c>
      <c r="AG560" t="s">
        <v>261</v>
      </c>
      <c r="AH560" t="s">
        <v>262</v>
      </c>
      <c r="AI560" t="s">
        <v>103</v>
      </c>
      <c r="AJ560" t="s">
        <v>104</v>
      </c>
      <c r="AK560">
        <v>5</v>
      </c>
      <c r="AL560">
        <v>23</v>
      </c>
      <c r="AM560" t="s">
        <v>263</v>
      </c>
      <c r="AN560" t="s">
        <v>106</v>
      </c>
      <c r="AS560">
        <v>2014</v>
      </c>
      <c r="AV560">
        <v>5</v>
      </c>
      <c r="AW560" t="s">
        <v>264</v>
      </c>
      <c r="AX560">
        <v>23</v>
      </c>
      <c r="AY560" t="s">
        <v>134</v>
      </c>
      <c r="AZ560" t="s">
        <v>109</v>
      </c>
      <c r="BA560" t="s">
        <v>142</v>
      </c>
      <c r="BB560">
        <v>23</v>
      </c>
      <c r="BC560">
        <v>28</v>
      </c>
      <c r="BE560" t="s">
        <v>139</v>
      </c>
      <c r="BG560">
        <v>0.1</v>
      </c>
      <c r="BL560">
        <v>70</v>
      </c>
      <c r="BP560">
        <v>16</v>
      </c>
      <c r="BS560" t="s">
        <v>265</v>
      </c>
      <c r="BU560" t="s">
        <v>1316</v>
      </c>
      <c r="BV560">
        <v>33.91619</v>
      </c>
      <c r="BW560">
        <v>0.83061260000000003</v>
      </c>
      <c r="BX560">
        <v>21</v>
      </c>
      <c r="BY560">
        <v>33.86647</v>
      </c>
      <c r="BZ560">
        <v>0.86788189999999998</v>
      </c>
      <c r="CA560">
        <v>34</v>
      </c>
      <c r="CB560" t="s">
        <v>113</v>
      </c>
      <c r="CC560" t="s">
        <v>1045</v>
      </c>
    </row>
    <row r="561" spans="1:81" x14ac:dyDescent="0.25">
      <c r="A561" t="s">
        <v>81</v>
      </c>
      <c r="B561">
        <v>560</v>
      </c>
      <c r="C561">
        <v>115</v>
      </c>
      <c r="D561">
        <v>107</v>
      </c>
      <c r="E561">
        <v>120</v>
      </c>
      <c r="F561">
        <v>121</v>
      </c>
      <c r="G561">
        <v>320</v>
      </c>
      <c r="H561">
        <v>450</v>
      </c>
      <c r="J561" t="s">
        <v>83</v>
      </c>
      <c r="M561" t="s">
        <v>746</v>
      </c>
      <c r="N561" t="s">
        <v>1308</v>
      </c>
      <c r="O561" t="s">
        <v>14</v>
      </c>
      <c r="P561" t="s">
        <v>1309</v>
      </c>
      <c r="Q561" t="s">
        <v>1310</v>
      </c>
      <c r="R561">
        <v>2020</v>
      </c>
      <c r="S561" t="s">
        <v>775</v>
      </c>
      <c r="U561" t="s">
        <v>1311</v>
      </c>
      <c r="V561" t="s">
        <v>1312</v>
      </c>
      <c r="W561" t="s">
        <v>170</v>
      </c>
      <c r="X561" t="s">
        <v>171</v>
      </c>
      <c r="Y561" t="s">
        <v>1006</v>
      </c>
      <c r="Z561" t="s">
        <v>1007</v>
      </c>
      <c r="AA561" t="s">
        <v>1008</v>
      </c>
      <c r="AB561" t="s">
        <v>1313</v>
      </c>
      <c r="AC561" t="s">
        <v>1314</v>
      </c>
      <c r="AD561" t="s">
        <v>98</v>
      </c>
      <c r="AE561" t="s">
        <v>177</v>
      </c>
      <c r="AF561" t="s">
        <v>100</v>
      </c>
      <c r="AG561" t="s">
        <v>261</v>
      </c>
      <c r="AH561" t="s">
        <v>262</v>
      </c>
      <c r="AI561" t="s">
        <v>103</v>
      </c>
      <c r="AJ561" t="s">
        <v>104</v>
      </c>
      <c r="AK561">
        <v>10</v>
      </c>
      <c r="AL561">
        <v>23</v>
      </c>
      <c r="AM561" t="s">
        <v>263</v>
      </c>
      <c r="AN561" t="s">
        <v>106</v>
      </c>
      <c r="AS561">
        <v>2014</v>
      </c>
      <c r="AV561">
        <v>10</v>
      </c>
      <c r="AW561" t="s">
        <v>264</v>
      </c>
      <c r="AX561">
        <v>23</v>
      </c>
      <c r="AY561" t="s">
        <v>134</v>
      </c>
      <c r="AZ561" t="s">
        <v>109</v>
      </c>
      <c r="BA561" t="s">
        <v>142</v>
      </c>
      <c r="BB561">
        <v>23</v>
      </c>
      <c r="BC561">
        <v>28</v>
      </c>
      <c r="BE561" t="s">
        <v>139</v>
      </c>
      <c r="BG561">
        <v>0.1</v>
      </c>
      <c r="BL561">
        <v>70</v>
      </c>
      <c r="BP561">
        <v>16</v>
      </c>
      <c r="BS561" t="s">
        <v>265</v>
      </c>
      <c r="BU561" t="s">
        <v>1317</v>
      </c>
      <c r="BV561">
        <v>33.214210000000001</v>
      </c>
      <c r="BW561">
        <v>0.84471770000000002</v>
      </c>
      <c r="BX561">
        <v>19</v>
      </c>
      <c r="BY561">
        <v>33.487729999999999</v>
      </c>
      <c r="BZ561">
        <v>0.96243699999999999</v>
      </c>
      <c r="CA561">
        <v>22</v>
      </c>
      <c r="CB561" t="s">
        <v>113</v>
      </c>
      <c r="CC561" t="s">
        <v>1045</v>
      </c>
    </row>
    <row r="562" spans="1:81" x14ac:dyDescent="0.25">
      <c r="A562" t="s">
        <v>81</v>
      </c>
      <c r="B562">
        <v>561</v>
      </c>
      <c r="C562">
        <v>115</v>
      </c>
      <c r="D562">
        <v>107</v>
      </c>
      <c r="E562">
        <v>120</v>
      </c>
      <c r="F562">
        <v>121</v>
      </c>
      <c r="G562">
        <v>321</v>
      </c>
      <c r="H562">
        <v>451</v>
      </c>
      <c r="J562" t="s">
        <v>83</v>
      </c>
      <c r="M562" t="s">
        <v>746</v>
      </c>
      <c r="N562" t="s">
        <v>1308</v>
      </c>
      <c r="O562" t="s">
        <v>14</v>
      </c>
      <c r="P562" t="s">
        <v>1309</v>
      </c>
      <c r="Q562" t="s">
        <v>1310</v>
      </c>
      <c r="R562">
        <v>2020</v>
      </c>
      <c r="S562" t="s">
        <v>775</v>
      </c>
      <c r="U562" t="s">
        <v>1311</v>
      </c>
      <c r="V562" t="s">
        <v>1312</v>
      </c>
      <c r="W562" t="s">
        <v>170</v>
      </c>
      <c r="X562" t="s">
        <v>171</v>
      </c>
      <c r="Y562" t="s">
        <v>1006</v>
      </c>
      <c r="Z562" t="s">
        <v>1007</v>
      </c>
      <c r="AA562" t="s">
        <v>1008</v>
      </c>
      <c r="AB562" t="s">
        <v>1313</v>
      </c>
      <c r="AC562" t="s">
        <v>1314</v>
      </c>
      <c r="AD562" t="s">
        <v>98</v>
      </c>
      <c r="AE562" t="s">
        <v>177</v>
      </c>
      <c r="AF562" t="s">
        <v>100</v>
      </c>
      <c r="AG562" t="s">
        <v>261</v>
      </c>
      <c r="AH562" t="s">
        <v>262</v>
      </c>
      <c r="AI562" t="s">
        <v>103</v>
      </c>
      <c r="AJ562" t="s">
        <v>104</v>
      </c>
      <c r="AK562">
        <v>10</v>
      </c>
      <c r="AL562">
        <v>23</v>
      </c>
      <c r="AM562" t="s">
        <v>263</v>
      </c>
      <c r="AN562" t="s">
        <v>106</v>
      </c>
      <c r="AS562">
        <v>2014</v>
      </c>
      <c r="AV562">
        <v>10</v>
      </c>
      <c r="AW562" t="s">
        <v>264</v>
      </c>
      <c r="AX562">
        <v>23</v>
      </c>
      <c r="AY562" t="s">
        <v>134</v>
      </c>
      <c r="AZ562" t="s">
        <v>109</v>
      </c>
      <c r="BA562" t="s">
        <v>142</v>
      </c>
      <c r="BB562">
        <v>23</v>
      </c>
      <c r="BC562">
        <v>28</v>
      </c>
      <c r="BE562" t="s">
        <v>139</v>
      </c>
      <c r="BG562">
        <v>0.1</v>
      </c>
      <c r="BL562">
        <v>70</v>
      </c>
      <c r="BP562">
        <v>16</v>
      </c>
      <c r="BS562" t="s">
        <v>265</v>
      </c>
      <c r="BU562" t="s">
        <v>1318</v>
      </c>
      <c r="BV562">
        <v>33.588569999999997</v>
      </c>
      <c r="BW562">
        <v>0.57384919999999995</v>
      </c>
      <c r="BX562">
        <v>21</v>
      </c>
      <c r="BY562">
        <v>33.85</v>
      </c>
      <c r="BZ562">
        <v>0.60721849999999999</v>
      </c>
      <c r="CA562">
        <v>22</v>
      </c>
      <c r="CB562" t="s">
        <v>113</v>
      </c>
      <c r="CC562" t="s">
        <v>1045</v>
      </c>
    </row>
    <row r="563" spans="1:81" x14ac:dyDescent="0.25">
      <c r="A563" t="s">
        <v>81</v>
      </c>
      <c r="B563">
        <v>562</v>
      </c>
      <c r="C563">
        <v>115</v>
      </c>
      <c r="D563">
        <v>107</v>
      </c>
      <c r="E563">
        <v>120</v>
      </c>
      <c r="F563">
        <v>121</v>
      </c>
      <c r="G563">
        <v>322</v>
      </c>
      <c r="H563">
        <v>452</v>
      </c>
      <c r="J563" t="s">
        <v>83</v>
      </c>
      <c r="M563" t="s">
        <v>746</v>
      </c>
      <c r="N563" t="s">
        <v>1308</v>
      </c>
      <c r="O563" t="s">
        <v>14</v>
      </c>
      <c r="P563" t="s">
        <v>1309</v>
      </c>
      <c r="Q563" t="s">
        <v>1310</v>
      </c>
      <c r="R563">
        <v>2020</v>
      </c>
      <c r="S563" t="s">
        <v>775</v>
      </c>
      <c r="U563" t="s">
        <v>1311</v>
      </c>
      <c r="V563" t="s">
        <v>1312</v>
      </c>
      <c r="W563" t="s">
        <v>170</v>
      </c>
      <c r="X563" t="s">
        <v>171</v>
      </c>
      <c r="Y563" t="s">
        <v>1006</v>
      </c>
      <c r="Z563" t="s">
        <v>1007</v>
      </c>
      <c r="AA563" t="s">
        <v>1008</v>
      </c>
      <c r="AB563" t="s">
        <v>1313</v>
      </c>
      <c r="AC563" t="s">
        <v>1314</v>
      </c>
      <c r="AD563" t="s">
        <v>98</v>
      </c>
      <c r="AE563" t="s">
        <v>177</v>
      </c>
      <c r="AF563" t="s">
        <v>100</v>
      </c>
      <c r="AG563" t="s">
        <v>261</v>
      </c>
      <c r="AH563" t="s">
        <v>262</v>
      </c>
      <c r="AI563" t="s">
        <v>103</v>
      </c>
      <c r="AJ563" t="s">
        <v>104</v>
      </c>
      <c r="AK563">
        <v>15</v>
      </c>
      <c r="AL563">
        <v>23</v>
      </c>
      <c r="AM563" t="s">
        <v>263</v>
      </c>
      <c r="AN563" t="s">
        <v>106</v>
      </c>
      <c r="AS563">
        <v>2014</v>
      </c>
      <c r="AV563">
        <v>15</v>
      </c>
      <c r="AW563" t="s">
        <v>264</v>
      </c>
      <c r="AX563">
        <v>23</v>
      </c>
      <c r="AY563" t="s">
        <v>134</v>
      </c>
      <c r="AZ563" t="s">
        <v>109</v>
      </c>
      <c r="BA563" t="s">
        <v>142</v>
      </c>
      <c r="BB563">
        <v>23</v>
      </c>
      <c r="BC563">
        <v>28</v>
      </c>
      <c r="BE563" t="s">
        <v>139</v>
      </c>
      <c r="BG563">
        <v>0.1</v>
      </c>
      <c r="BL563">
        <v>70</v>
      </c>
      <c r="BP563">
        <v>16</v>
      </c>
      <c r="BS563" t="s">
        <v>265</v>
      </c>
      <c r="BU563" t="s">
        <v>1319</v>
      </c>
      <c r="BV563">
        <v>32.183500000000002</v>
      </c>
      <c r="BW563">
        <v>1.1919124999999999</v>
      </c>
      <c r="BX563">
        <v>20</v>
      </c>
      <c r="BY563">
        <v>33.700479999999999</v>
      </c>
      <c r="BZ563">
        <v>0.75518529999999995</v>
      </c>
      <c r="CA563">
        <v>21</v>
      </c>
      <c r="CB563" t="s">
        <v>113</v>
      </c>
      <c r="CC563" t="s">
        <v>1045</v>
      </c>
    </row>
    <row r="564" spans="1:81" x14ac:dyDescent="0.25">
      <c r="A564" t="s">
        <v>81</v>
      </c>
      <c r="B564">
        <v>563</v>
      </c>
      <c r="C564">
        <v>115</v>
      </c>
      <c r="D564">
        <v>107</v>
      </c>
      <c r="E564">
        <v>120</v>
      </c>
      <c r="F564">
        <v>121</v>
      </c>
      <c r="G564">
        <v>323</v>
      </c>
      <c r="H564">
        <v>453</v>
      </c>
      <c r="J564" t="s">
        <v>83</v>
      </c>
      <c r="M564" t="s">
        <v>746</v>
      </c>
      <c r="N564" t="s">
        <v>1308</v>
      </c>
      <c r="O564" t="s">
        <v>14</v>
      </c>
      <c r="P564" t="s">
        <v>1309</v>
      </c>
      <c r="Q564" t="s">
        <v>1310</v>
      </c>
      <c r="R564">
        <v>2020</v>
      </c>
      <c r="S564" t="s">
        <v>775</v>
      </c>
      <c r="U564" t="s">
        <v>1311</v>
      </c>
      <c r="V564" t="s">
        <v>1312</v>
      </c>
      <c r="W564" t="s">
        <v>170</v>
      </c>
      <c r="X564" t="s">
        <v>171</v>
      </c>
      <c r="Y564" t="s">
        <v>1006</v>
      </c>
      <c r="Z564" t="s">
        <v>1007</v>
      </c>
      <c r="AA564" t="s">
        <v>1008</v>
      </c>
      <c r="AB564" t="s">
        <v>1313</v>
      </c>
      <c r="AC564" t="s">
        <v>1314</v>
      </c>
      <c r="AD564" t="s">
        <v>98</v>
      </c>
      <c r="AE564" t="s">
        <v>177</v>
      </c>
      <c r="AF564" t="s">
        <v>100</v>
      </c>
      <c r="AG564" t="s">
        <v>261</v>
      </c>
      <c r="AH564" t="s">
        <v>262</v>
      </c>
      <c r="AI564" t="s">
        <v>103</v>
      </c>
      <c r="AJ564" t="s">
        <v>104</v>
      </c>
      <c r="AK564">
        <v>15</v>
      </c>
      <c r="AL564">
        <v>23</v>
      </c>
      <c r="AM564" t="s">
        <v>263</v>
      </c>
      <c r="AN564" t="s">
        <v>106</v>
      </c>
      <c r="AS564">
        <v>2014</v>
      </c>
      <c r="AV564">
        <v>15</v>
      </c>
      <c r="AW564" t="s">
        <v>264</v>
      </c>
      <c r="AX564">
        <v>23</v>
      </c>
      <c r="AY564" t="s">
        <v>134</v>
      </c>
      <c r="AZ564" t="s">
        <v>109</v>
      </c>
      <c r="BA564" t="s">
        <v>142</v>
      </c>
      <c r="BB564">
        <v>23</v>
      </c>
      <c r="BC564">
        <v>28</v>
      </c>
      <c r="BE564" t="s">
        <v>139</v>
      </c>
      <c r="BG564">
        <v>0.1</v>
      </c>
      <c r="BL564">
        <v>70</v>
      </c>
      <c r="BP564">
        <v>16</v>
      </c>
      <c r="BS564" t="s">
        <v>265</v>
      </c>
      <c r="BU564" t="s">
        <v>1320</v>
      </c>
      <c r="BV564">
        <v>33.473680000000002</v>
      </c>
      <c r="BW564">
        <v>0.83857159999999997</v>
      </c>
      <c r="BX564">
        <v>19</v>
      </c>
      <c r="BY564">
        <v>33.169440000000002</v>
      </c>
      <c r="BZ564">
        <v>1.3308002000000001</v>
      </c>
      <c r="CA564">
        <v>18</v>
      </c>
      <c r="CB564" t="s">
        <v>113</v>
      </c>
      <c r="CC564" t="s">
        <v>1045</v>
      </c>
    </row>
    <row r="565" spans="1:81" x14ac:dyDescent="0.25">
      <c r="A565" t="s">
        <v>81</v>
      </c>
      <c r="B565">
        <v>564</v>
      </c>
      <c r="C565">
        <v>115</v>
      </c>
      <c r="D565">
        <v>107</v>
      </c>
      <c r="E565">
        <v>120</v>
      </c>
      <c r="F565">
        <v>121</v>
      </c>
      <c r="G565">
        <v>324</v>
      </c>
      <c r="H565">
        <v>454</v>
      </c>
      <c r="J565" t="s">
        <v>83</v>
      </c>
      <c r="M565" t="s">
        <v>746</v>
      </c>
      <c r="N565" t="s">
        <v>1308</v>
      </c>
      <c r="O565" t="s">
        <v>14</v>
      </c>
      <c r="P565" t="s">
        <v>1309</v>
      </c>
      <c r="Q565" t="s">
        <v>1310</v>
      </c>
      <c r="R565">
        <v>2020</v>
      </c>
      <c r="S565" t="s">
        <v>775</v>
      </c>
      <c r="U565" t="s">
        <v>1311</v>
      </c>
      <c r="V565" t="s">
        <v>1312</v>
      </c>
      <c r="W565" t="s">
        <v>170</v>
      </c>
      <c r="X565" t="s">
        <v>171</v>
      </c>
      <c r="Y565" t="s">
        <v>1006</v>
      </c>
      <c r="Z565" t="s">
        <v>1007</v>
      </c>
      <c r="AA565" t="s">
        <v>1008</v>
      </c>
      <c r="AB565" t="s">
        <v>1313</v>
      </c>
      <c r="AC565" t="s">
        <v>1314</v>
      </c>
      <c r="AD565" t="s">
        <v>98</v>
      </c>
      <c r="AE565" t="s">
        <v>177</v>
      </c>
      <c r="AF565" t="s">
        <v>100</v>
      </c>
      <c r="AG565" t="s">
        <v>261</v>
      </c>
      <c r="AH565" t="s">
        <v>262</v>
      </c>
      <c r="AI565" t="s">
        <v>103</v>
      </c>
      <c r="AJ565" t="s">
        <v>104</v>
      </c>
      <c r="AK565">
        <v>5</v>
      </c>
      <c r="AL565">
        <v>23</v>
      </c>
      <c r="AM565" t="s">
        <v>263</v>
      </c>
      <c r="AN565" t="s">
        <v>106</v>
      </c>
      <c r="AS565">
        <v>2014</v>
      </c>
      <c r="AV565">
        <v>5</v>
      </c>
      <c r="AW565" t="s">
        <v>269</v>
      </c>
      <c r="AX565">
        <v>23</v>
      </c>
      <c r="AY565" t="s">
        <v>134</v>
      </c>
      <c r="AZ565" t="s">
        <v>109</v>
      </c>
      <c r="BA565" t="s">
        <v>142</v>
      </c>
      <c r="BB565">
        <v>23</v>
      </c>
      <c r="BC565">
        <v>28</v>
      </c>
      <c r="BE565" t="s">
        <v>139</v>
      </c>
      <c r="BG565">
        <v>0.1</v>
      </c>
      <c r="BL565">
        <v>70</v>
      </c>
      <c r="BP565">
        <v>16</v>
      </c>
      <c r="BS565" t="s">
        <v>265</v>
      </c>
      <c r="BU565" t="s">
        <v>1321</v>
      </c>
      <c r="BV565">
        <v>32.92</v>
      </c>
      <c r="BW565">
        <v>0.73508320000000005</v>
      </c>
      <c r="BX565">
        <v>20</v>
      </c>
      <c r="BY565">
        <v>34.153329999999997</v>
      </c>
      <c r="BZ565">
        <v>0.53166409999999997</v>
      </c>
      <c r="CA565">
        <v>15</v>
      </c>
      <c r="CB565" t="s">
        <v>113</v>
      </c>
      <c r="CC565" t="s">
        <v>1045</v>
      </c>
    </row>
    <row r="566" spans="1:81" x14ac:dyDescent="0.25">
      <c r="A566" t="s">
        <v>81</v>
      </c>
      <c r="B566">
        <v>565</v>
      </c>
      <c r="C566">
        <v>115</v>
      </c>
      <c r="D566">
        <v>107</v>
      </c>
      <c r="E566">
        <v>120</v>
      </c>
      <c r="F566">
        <v>121</v>
      </c>
      <c r="G566">
        <v>325</v>
      </c>
      <c r="H566">
        <v>455</v>
      </c>
      <c r="J566" t="s">
        <v>83</v>
      </c>
      <c r="M566" t="s">
        <v>746</v>
      </c>
      <c r="N566" t="s">
        <v>1308</v>
      </c>
      <c r="O566" t="s">
        <v>14</v>
      </c>
      <c r="P566" t="s">
        <v>1309</v>
      </c>
      <c r="Q566" t="s">
        <v>1310</v>
      </c>
      <c r="R566">
        <v>2020</v>
      </c>
      <c r="S566" t="s">
        <v>775</v>
      </c>
      <c r="U566" t="s">
        <v>1311</v>
      </c>
      <c r="V566" t="s">
        <v>1312</v>
      </c>
      <c r="W566" t="s">
        <v>170</v>
      </c>
      <c r="X566" t="s">
        <v>171</v>
      </c>
      <c r="Y566" t="s">
        <v>1006</v>
      </c>
      <c r="Z566" t="s">
        <v>1007</v>
      </c>
      <c r="AA566" t="s">
        <v>1008</v>
      </c>
      <c r="AB566" t="s">
        <v>1313</v>
      </c>
      <c r="AC566" t="s">
        <v>1314</v>
      </c>
      <c r="AD566" t="s">
        <v>98</v>
      </c>
      <c r="AE566" t="s">
        <v>177</v>
      </c>
      <c r="AF566" t="s">
        <v>100</v>
      </c>
      <c r="AG566" t="s">
        <v>261</v>
      </c>
      <c r="AH566" t="s">
        <v>262</v>
      </c>
      <c r="AI566" t="s">
        <v>103</v>
      </c>
      <c r="AJ566" t="s">
        <v>104</v>
      </c>
      <c r="AK566">
        <v>5</v>
      </c>
      <c r="AL566">
        <v>23</v>
      </c>
      <c r="AM566" t="s">
        <v>263</v>
      </c>
      <c r="AN566" t="s">
        <v>106</v>
      </c>
      <c r="AS566">
        <v>2014</v>
      </c>
      <c r="AV566">
        <v>5</v>
      </c>
      <c r="AW566" t="s">
        <v>269</v>
      </c>
      <c r="AX566">
        <v>23</v>
      </c>
      <c r="AY566" t="s">
        <v>134</v>
      </c>
      <c r="AZ566" t="s">
        <v>109</v>
      </c>
      <c r="BA566" t="s">
        <v>142</v>
      </c>
      <c r="BB566">
        <v>23</v>
      </c>
      <c r="BC566">
        <v>28</v>
      </c>
      <c r="BE566" t="s">
        <v>139</v>
      </c>
      <c r="BG566">
        <v>0.1</v>
      </c>
      <c r="BL566">
        <v>70</v>
      </c>
      <c r="BP566">
        <v>16</v>
      </c>
      <c r="BS566" t="s">
        <v>265</v>
      </c>
      <c r="BU566" t="s">
        <v>1322</v>
      </c>
      <c r="BV566">
        <v>32.383159999999997</v>
      </c>
      <c r="BW566">
        <v>0.98040269999999996</v>
      </c>
      <c r="BX566">
        <v>19</v>
      </c>
      <c r="BY566">
        <v>33.22833</v>
      </c>
      <c r="BZ566">
        <v>0.9349558</v>
      </c>
      <c r="CA566">
        <v>12</v>
      </c>
      <c r="CB566" t="s">
        <v>113</v>
      </c>
      <c r="CC566" t="s">
        <v>1045</v>
      </c>
    </row>
    <row r="567" spans="1:81" x14ac:dyDescent="0.25">
      <c r="A567" t="s">
        <v>81</v>
      </c>
      <c r="B567">
        <v>566</v>
      </c>
      <c r="C567">
        <v>115</v>
      </c>
      <c r="D567">
        <v>107</v>
      </c>
      <c r="E567">
        <v>120</v>
      </c>
      <c r="F567">
        <v>121</v>
      </c>
      <c r="G567">
        <v>326</v>
      </c>
      <c r="H567">
        <v>456</v>
      </c>
      <c r="J567" t="s">
        <v>83</v>
      </c>
      <c r="M567" t="s">
        <v>746</v>
      </c>
      <c r="N567" t="s">
        <v>1308</v>
      </c>
      <c r="O567" t="s">
        <v>14</v>
      </c>
      <c r="P567" t="s">
        <v>1309</v>
      </c>
      <c r="Q567" t="s">
        <v>1310</v>
      </c>
      <c r="R567">
        <v>2020</v>
      </c>
      <c r="S567" t="s">
        <v>775</v>
      </c>
      <c r="U567" t="s">
        <v>1311</v>
      </c>
      <c r="V567" t="s">
        <v>1312</v>
      </c>
      <c r="W567" t="s">
        <v>170</v>
      </c>
      <c r="X567" t="s">
        <v>171</v>
      </c>
      <c r="Y567" t="s">
        <v>1006</v>
      </c>
      <c r="Z567" t="s">
        <v>1007</v>
      </c>
      <c r="AA567" t="s">
        <v>1008</v>
      </c>
      <c r="AB567" t="s">
        <v>1313</v>
      </c>
      <c r="AC567" t="s">
        <v>1314</v>
      </c>
      <c r="AD567" t="s">
        <v>98</v>
      </c>
      <c r="AE567" t="s">
        <v>177</v>
      </c>
      <c r="AF567" t="s">
        <v>100</v>
      </c>
      <c r="AG567" t="s">
        <v>261</v>
      </c>
      <c r="AH567" t="s">
        <v>262</v>
      </c>
      <c r="AI567" t="s">
        <v>103</v>
      </c>
      <c r="AJ567" t="s">
        <v>104</v>
      </c>
      <c r="AK567">
        <v>10</v>
      </c>
      <c r="AL567">
        <v>23</v>
      </c>
      <c r="AM567" t="s">
        <v>263</v>
      </c>
      <c r="AN567" t="s">
        <v>106</v>
      </c>
      <c r="AS567">
        <v>2014</v>
      </c>
      <c r="AV567">
        <v>10</v>
      </c>
      <c r="AW567" t="s">
        <v>269</v>
      </c>
      <c r="AX567">
        <v>23</v>
      </c>
      <c r="AY567" t="s">
        <v>134</v>
      </c>
      <c r="AZ567" t="s">
        <v>109</v>
      </c>
      <c r="BA567" t="s">
        <v>142</v>
      </c>
      <c r="BB567">
        <v>23</v>
      </c>
      <c r="BC567">
        <v>28</v>
      </c>
      <c r="BE567" t="s">
        <v>139</v>
      </c>
      <c r="BG567">
        <v>0.1</v>
      </c>
      <c r="BL567">
        <v>70</v>
      </c>
      <c r="BP567">
        <v>16</v>
      </c>
      <c r="BS567" t="s">
        <v>265</v>
      </c>
      <c r="BU567" t="s">
        <v>1323</v>
      </c>
      <c r="BV567">
        <v>32.695790000000002</v>
      </c>
      <c r="BW567">
        <v>0.93903800000000004</v>
      </c>
      <c r="BX567">
        <v>19</v>
      </c>
      <c r="BY567">
        <v>33.893329999999999</v>
      </c>
      <c r="BZ567">
        <v>0.63410979999999995</v>
      </c>
      <c r="CA567">
        <v>15</v>
      </c>
      <c r="CB567" t="s">
        <v>113</v>
      </c>
      <c r="CC567" t="s">
        <v>1045</v>
      </c>
    </row>
    <row r="568" spans="1:81" x14ac:dyDescent="0.25">
      <c r="A568" t="s">
        <v>81</v>
      </c>
      <c r="B568">
        <v>567</v>
      </c>
      <c r="C568">
        <v>115</v>
      </c>
      <c r="D568">
        <v>107</v>
      </c>
      <c r="E568">
        <v>120</v>
      </c>
      <c r="F568">
        <v>121</v>
      </c>
      <c r="G568">
        <v>327</v>
      </c>
      <c r="H568">
        <v>457</v>
      </c>
      <c r="J568" t="s">
        <v>83</v>
      </c>
      <c r="M568" t="s">
        <v>746</v>
      </c>
      <c r="N568" t="s">
        <v>1308</v>
      </c>
      <c r="O568" t="s">
        <v>14</v>
      </c>
      <c r="P568" t="s">
        <v>1309</v>
      </c>
      <c r="Q568" t="s">
        <v>1310</v>
      </c>
      <c r="R568">
        <v>2020</v>
      </c>
      <c r="S568" t="s">
        <v>775</v>
      </c>
      <c r="U568" t="s">
        <v>1311</v>
      </c>
      <c r="V568" t="s">
        <v>1312</v>
      </c>
      <c r="W568" t="s">
        <v>170</v>
      </c>
      <c r="X568" t="s">
        <v>171</v>
      </c>
      <c r="Y568" t="s">
        <v>1006</v>
      </c>
      <c r="Z568" t="s">
        <v>1007</v>
      </c>
      <c r="AA568" t="s">
        <v>1008</v>
      </c>
      <c r="AB568" t="s">
        <v>1313</v>
      </c>
      <c r="AC568" t="s">
        <v>1314</v>
      </c>
      <c r="AD568" t="s">
        <v>98</v>
      </c>
      <c r="AE568" t="s">
        <v>177</v>
      </c>
      <c r="AF568" t="s">
        <v>100</v>
      </c>
      <c r="AG568" t="s">
        <v>261</v>
      </c>
      <c r="AH568" t="s">
        <v>262</v>
      </c>
      <c r="AI568" t="s">
        <v>103</v>
      </c>
      <c r="AJ568" t="s">
        <v>104</v>
      </c>
      <c r="AK568">
        <v>10</v>
      </c>
      <c r="AL568">
        <v>23</v>
      </c>
      <c r="AM568" t="s">
        <v>263</v>
      </c>
      <c r="AN568" t="s">
        <v>106</v>
      </c>
      <c r="AS568">
        <v>2014</v>
      </c>
      <c r="AV568">
        <v>10</v>
      </c>
      <c r="AW568" t="s">
        <v>269</v>
      </c>
      <c r="AX568">
        <v>23</v>
      </c>
      <c r="AY568" t="s">
        <v>134</v>
      </c>
      <c r="AZ568" t="s">
        <v>109</v>
      </c>
      <c r="BA568" t="s">
        <v>142</v>
      </c>
      <c r="BB568">
        <v>23</v>
      </c>
      <c r="BC568">
        <v>28</v>
      </c>
      <c r="BE568" t="s">
        <v>139</v>
      </c>
      <c r="BG568">
        <v>0.1</v>
      </c>
      <c r="BL568">
        <v>70</v>
      </c>
      <c r="BP568">
        <v>16</v>
      </c>
      <c r="BS568" t="s">
        <v>265</v>
      </c>
      <c r="BU568" t="s">
        <v>1324</v>
      </c>
      <c r="BV568">
        <v>32.037219999999998</v>
      </c>
      <c r="BW568">
        <v>0.66432460000000004</v>
      </c>
      <c r="BX568">
        <v>18</v>
      </c>
      <c r="BY568">
        <v>33.133159999999997</v>
      </c>
      <c r="BZ568">
        <v>0.7820703</v>
      </c>
      <c r="CA568">
        <v>19</v>
      </c>
      <c r="CB568" t="s">
        <v>113</v>
      </c>
      <c r="CC568" t="s">
        <v>1045</v>
      </c>
    </row>
    <row r="569" spans="1:81" x14ac:dyDescent="0.25">
      <c r="A569" t="s">
        <v>81</v>
      </c>
      <c r="B569">
        <v>568</v>
      </c>
      <c r="C569">
        <v>115</v>
      </c>
      <c r="D569">
        <v>107</v>
      </c>
      <c r="E569">
        <v>120</v>
      </c>
      <c r="F569">
        <v>121</v>
      </c>
      <c r="G569">
        <v>328</v>
      </c>
      <c r="H569">
        <v>458</v>
      </c>
      <c r="J569" t="s">
        <v>83</v>
      </c>
      <c r="M569" t="s">
        <v>746</v>
      </c>
      <c r="N569" t="s">
        <v>1308</v>
      </c>
      <c r="O569" t="s">
        <v>14</v>
      </c>
      <c r="P569" t="s">
        <v>1309</v>
      </c>
      <c r="Q569" t="s">
        <v>1310</v>
      </c>
      <c r="R569">
        <v>2020</v>
      </c>
      <c r="S569" t="s">
        <v>775</v>
      </c>
      <c r="U569" t="s">
        <v>1311</v>
      </c>
      <c r="V569" t="s">
        <v>1312</v>
      </c>
      <c r="W569" t="s">
        <v>170</v>
      </c>
      <c r="X569" t="s">
        <v>171</v>
      </c>
      <c r="Y569" t="s">
        <v>1006</v>
      </c>
      <c r="Z569" t="s">
        <v>1007</v>
      </c>
      <c r="AA569" t="s">
        <v>1008</v>
      </c>
      <c r="AB569" t="s">
        <v>1313</v>
      </c>
      <c r="AC569" t="s">
        <v>1314</v>
      </c>
      <c r="AD569" t="s">
        <v>98</v>
      </c>
      <c r="AE569" t="s">
        <v>177</v>
      </c>
      <c r="AF569" t="s">
        <v>100</v>
      </c>
      <c r="AG569" t="s">
        <v>261</v>
      </c>
      <c r="AH569" t="s">
        <v>262</v>
      </c>
      <c r="AI569" t="s">
        <v>103</v>
      </c>
      <c r="AJ569" t="s">
        <v>104</v>
      </c>
      <c r="AK569">
        <v>15</v>
      </c>
      <c r="AL569">
        <v>23</v>
      </c>
      <c r="AM569" t="s">
        <v>263</v>
      </c>
      <c r="AN569" t="s">
        <v>106</v>
      </c>
      <c r="AS569">
        <v>2014</v>
      </c>
      <c r="AV569">
        <v>15</v>
      </c>
      <c r="AW569" t="s">
        <v>269</v>
      </c>
      <c r="AX569">
        <v>23</v>
      </c>
      <c r="AY569" t="s">
        <v>134</v>
      </c>
      <c r="AZ569" t="s">
        <v>109</v>
      </c>
      <c r="BA569" t="s">
        <v>142</v>
      </c>
      <c r="BB569">
        <v>23</v>
      </c>
      <c r="BC569">
        <v>28</v>
      </c>
      <c r="BE569" t="s">
        <v>139</v>
      </c>
      <c r="BG569">
        <v>0.1</v>
      </c>
      <c r="BL569">
        <v>70</v>
      </c>
      <c r="BP569">
        <v>16</v>
      </c>
      <c r="BS569" t="s">
        <v>265</v>
      </c>
      <c r="BU569" t="s">
        <v>1325</v>
      </c>
      <c r="BV569">
        <v>32.054380000000002</v>
      </c>
      <c r="BW569">
        <v>1.0113224000000001</v>
      </c>
      <c r="BX569">
        <v>16</v>
      </c>
      <c r="BY569">
        <v>33.674619999999997</v>
      </c>
      <c r="BZ569">
        <v>0.60031400000000001</v>
      </c>
      <c r="CA569">
        <v>13</v>
      </c>
      <c r="CB569" t="s">
        <v>113</v>
      </c>
      <c r="CC569" t="s">
        <v>1045</v>
      </c>
    </row>
    <row r="570" spans="1:81" x14ac:dyDescent="0.25">
      <c r="A570" t="s">
        <v>81</v>
      </c>
      <c r="B570">
        <v>569</v>
      </c>
      <c r="C570">
        <v>115</v>
      </c>
      <c r="D570">
        <v>107</v>
      </c>
      <c r="E570">
        <v>120</v>
      </c>
      <c r="F570">
        <v>121</v>
      </c>
      <c r="G570">
        <v>329</v>
      </c>
      <c r="H570">
        <v>459</v>
      </c>
      <c r="J570" t="s">
        <v>83</v>
      </c>
      <c r="M570" t="s">
        <v>746</v>
      </c>
      <c r="N570" t="s">
        <v>1308</v>
      </c>
      <c r="O570" t="s">
        <v>14</v>
      </c>
      <c r="P570" t="s">
        <v>1309</v>
      </c>
      <c r="Q570" t="s">
        <v>1310</v>
      </c>
      <c r="R570">
        <v>2020</v>
      </c>
      <c r="S570" t="s">
        <v>775</v>
      </c>
      <c r="U570" t="s">
        <v>1311</v>
      </c>
      <c r="V570" t="s">
        <v>1312</v>
      </c>
      <c r="W570" t="s">
        <v>170</v>
      </c>
      <c r="X570" t="s">
        <v>171</v>
      </c>
      <c r="Y570" t="s">
        <v>1006</v>
      </c>
      <c r="Z570" t="s">
        <v>1007</v>
      </c>
      <c r="AA570" t="s">
        <v>1008</v>
      </c>
      <c r="AB570" t="s">
        <v>1313</v>
      </c>
      <c r="AC570" t="s">
        <v>1314</v>
      </c>
      <c r="AD570" t="s">
        <v>98</v>
      </c>
      <c r="AE570" t="s">
        <v>177</v>
      </c>
      <c r="AF570" t="s">
        <v>100</v>
      </c>
      <c r="AG570" t="s">
        <v>261</v>
      </c>
      <c r="AH570" t="s">
        <v>262</v>
      </c>
      <c r="AI570" t="s">
        <v>103</v>
      </c>
      <c r="AJ570" t="s">
        <v>104</v>
      </c>
      <c r="AK570">
        <v>15</v>
      </c>
      <c r="AL570">
        <v>23</v>
      </c>
      <c r="AM570" t="s">
        <v>263</v>
      </c>
      <c r="AN570" t="s">
        <v>106</v>
      </c>
      <c r="AS570">
        <v>2014</v>
      </c>
      <c r="AV570">
        <v>15</v>
      </c>
      <c r="AW570" t="s">
        <v>269</v>
      </c>
      <c r="AX570">
        <v>23</v>
      </c>
      <c r="AY570" t="s">
        <v>134</v>
      </c>
      <c r="AZ570" t="s">
        <v>109</v>
      </c>
      <c r="BA570" t="s">
        <v>142</v>
      </c>
      <c r="BB570">
        <v>23</v>
      </c>
      <c r="BC570">
        <v>28</v>
      </c>
      <c r="BE570" t="s">
        <v>139</v>
      </c>
      <c r="BG570">
        <v>0.1</v>
      </c>
      <c r="BL570">
        <v>70</v>
      </c>
      <c r="BP570">
        <v>16</v>
      </c>
      <c r="BS570" t="s">
        <v>265</v>
      </c>
      <c r="BU570" t="s">
        <v>1326</v>
      </c>
      <c r="BV570">
        <v>32.328569999999999</v>
      </c>
      <c r="BW570">
        <v>0.82075750000000003</v>
      </c>
      <c r="BX570">
        <v>21</v>
      </c>
      <c r="BY570">
        <v>31.742380000000001</v>
      </c>
      <c r="BZ570">
        <v>1.4218857</v>
      </c>
      <c r="CA570">
        <v>21</v>
      </c>
      <c r="CB570" t="s">
        <v>113</v>
      </c>
      <c r="CC570" t="s">
        <v>1045</v>
      </c>
    </row>
    <row r="571" spans="1:81" x14ac:dyDescent="0.25">
      <c r="A571" t="s">
        <v>81</v>
      </c>
      <c r="B571">
        <v>570</v>
      </c>
      <c r="C571">
        <v>116</v>
      </c>
      <c r="D571">
        <v>14</v>
      </c>
      <c r="E571">
        <v>121</v>
      </c>
      <c r="F571">
        <v>122</v>
      </c>
      <c r="G571">
        <v>330</v>
      </c>
      <c r="H571">
        <v>460</v>
      </c>
      <c r="J571" t="s">
        <v>285</v>
      </c>
      <c r="L571" t="s">
        <v>1327</v>
      </c>
      <c r="M571" t="s">
        <v>85</v>
      </c>
      <c r="O571" t="s">
        <v>14</v>
      </c>
      <c r="P571" t="s">
        <v>1328</v>
      </c>
      <c r="Q571" t="s">
        <v>1329</v>
      </c>
      <c r="R571">
        <v>2019</v>
      </c>
      <c r="S571" t="s">
        <v>289</v>
      </c>
      <c r="U571" t="s">
        <v>1330</v>
      </c>
      <c r="V571" t="s">
        <v>1331</v>
      </c>
      <c r="W571" t="s">
        <v>91</v>
      </c>
      <c r="X571" t="s">
        <v>126</v>
      </c>
      <c r="Y571" t="s">
        <v>292</v>
      </c>
      <c r="Z571" t="s">
        <v>293</v>
      </c>
      <c r="AA571" t="s">
        <v>294</v>
      </c>
      <c r="AB571" t="s">
        <v>295</v>
      </c>
      <c r="AC571" t="s">
        <v>296</v>
      </c>
      <c r="AD571" t="s">
        <v>132</v>
      </c>
      <c r="AE571" t="s">
        <v>133</v>
      </c>
      <c r="AF571" t="s">
        <v>100</v>
      </c>
      <c r="AG571" t="s">
        <v>102</v>
      </c>
      <c r="AH571" t="s">
        <v>102</v>
      </c>
      <c r="AI571" t="s">
        <v>134</v>
      </c>
      <c r="AJ571" t="s">
        <v>135</v>
      </c>
      <c r="AM571" t="s">
        <v>136</v>
      </c>
      <c r="AN571" t="s">
        <v>106</v>
      </c>
      <c r="AR571" t="s">
        <v>107</v>
      </c>
      <c r="AS571">
        <v>2016</v>
      </c>
      <c r="AV571">
        <v>55</v>
      </c>
      <c r="AW571" t="s">
        <v>108</v>
      </c>
      <c r="AX571">
        <v>16</v>
      </c>
      <c r="AY571" t="s">
        <v>103</v>
      </c>
      <c r="AZ571" t="s">
        <v>109</v>
      </c>
      <c r="BA571" t="s">
        <v>138</v>
      </c>
      <c r="BB571">
        <v>12</v>
      </c>
      <c r="BC571">
        <v>14</v>
      </c>
      <c r="BE571" t="s">
        <v>111</v>
      </c>
      <c r="BF571">
        <f>55-32</f>
        <v>23</v>
      </c>
      <c r="BG571">
        <f>0.2/60</f>
        <v>3.3333333333333335E-3</v>
      </c>
      <c r="BS571" t="s">
        <v>740</v>
      </c>
      <c r="BU571" t="s">
        <v>1332</v>
      </c>
      <c r="BV571">
        <v>34.407890000000002</v>
      </c>
      <c r="BW571">
        <v>0.4395017</v>
      </c>
      <c r="BX571">
        <v>7</v>
      </c>
      <c r="BY571">
        <v>33.336350000000003</v>
      </c>
      <c r="BZ571">
        <v>1.5256866</v>
      </c>
      <c r="CA571">
        <v>7</v>
      </c>
      <c r="CB571" t="s">
        <v>113</v>
      </c>
      <c r="CC571" t="s">
        <v>1333</v>
      </c>
    </row>
    <row r="572" spans="1:81" x14ac:dyDescent="0.25">
      <c r="A572" t="s">
        <v>81</v>
      </c>
      <c r="B572">
        <v>571</v>
      </c>
      <c r="C572">
        <v>116</v>
      </c>
      <c r="D572">
        <v>14</v>
      </c>
      <c r="E572">
        <v>121</v>
      </c>
      <c r="F572">
        <v>122</v>
      </c>
      <c r="G572">
        <v>331</v>
      </c>
      <c r="H572">
        <v>461</v>
      </c>
      <c r="J572" t="s">
        <v>285</v>
      </c>
      <c r="L572" t="s">
        <v>1327</v>
      </c>
      <c r="M572" t="s">
        <v>85</v>
      </c>
      <c r="O572" t="s">
        <v>14</v>
      </c>
      <c r="P572" t="s">
        <v>1328</v>
      </c>
      <c r="Q572" t="s">
        <v>1329</v>
      </c>
      <c r="R572">
        <v>2019</v>
      </c>
      <c r="S572" t="s">
        <v>289</v>
      </c>
      <c r="U572" t="s">
        <v>1330</v>
      </c>
      <c r="V572" t="s">
        <v>1331</v>
      </c>
      <c r="W572" t="s">
        <v>91</v>
      </c>
      <c r="X572" t="s">
        <v>126</v>
      </c>
      <c r="Y572" t="s">
        <v>292</v>
      </c>
      <c r="Z572" t="s">
        <v>293</v>
      </c>
      <c r="AA572" t="s">
        <v>294</v>
      </c>
      <c r="AB572" t="s">
        <v>295</v>
      </c>
      <c r="AC572" t="s">
        <v>296</v>
      </c>
      <c r="AD572" t="s">
        <v>132</v>
      </c>
      <c r="AE572" t="s">
        <v>133</v>
      </c>
      <c r="AF572" t="s">
        <v>100</v>
      </c>
      <c r="AG572" t="s">
        <v>102</v>
      </c>
      <c r="AH572" t="s">
        <v>102</v>
      </c>
      <c r="AI572" t="s">
        <v>134</v>
      </c>
      <c r="AJ572" t="s">
        <v>135</v>
      </c>
      <c r="AM572" t="s">
        <v>136</v>
      </c>
      <c r="AN572" t="s">
        <v>106</v>
      </c>
      <c r="AR572" t="s">
        <v>107</v>
      </c>
      <c r="AS572">
        <v>2016</v>
      </c>
      <c r="AV572">
        <v>55</v>
      </c>
      <c r="AW572" t="s">
        <v>108</v>
      </c>
      <c r="AX572">
        <v>16</v>
      </c>
      <c r="AY572" t="s">
        <v>103</v>
      </c>
      <c r="AZ572" t="s">
        <v>109</v>
      </c>
      <c r="BA572" t="s">
        <v>138</v>
      </c>
      <c r="BB572">
        <v>12</v>
      </c>
      <c r="BC572">
        <v>14</v>
      </c>
      <c r="BE572" t="s">
        <v>111</v>
      </c>
      <c r="BF572">
        <v>23</v>
      </c>
      <c r="BG572">
        <f>0.2/60</f>
        <v>3.3333333333333335E-3</v>
      </c>
      <c r="BS572" t="s">
        <v>740</v>
      </c>
      <c r="BU572" t="s">
        <v>1334</v>
      </c>
      <c r="BV572">
        <v>34.558390000000003</v>
      </c>
      <c r="BW572">
        <v>0.29930639999999997</v>
      </c>
      <c r="BX572">
        <v>7</v>
      </c>
      <c r="BY572">
        <v>34.394739999999999</v>
      </c>
      <c r="BZ572">
        <v>0.51349610000000001</v>
      </c>
      <c r="CA572">
        <v>7</v>
      </c>
      <c r="CB572" t="s">
        <v>113</v>
      </c>
      <c r="CC572" t="s">
        <v>1333</v>
      </c>
    </row>
    <row r="573" spans="1:81" x14ac:dyDescent="0.25">
      <c r="A573" t="s">
        <v>81</v>
      </c>
      <c r="B573">
        <v>572</v>
      </c>
      <c r="C573">
        <v>116</v>
      </c>
      <c r="D573">
        <v>14</v>
      </c>
      <c r="E573">
        <v>121</v>
      </c>
      <c r="F573">
        <v>122</v>
      </c>
      <c r="G573">
        <v>332</v>
      </c>
      <c r="H573">
        <v>462</v>
      </c>
      <c r="J573" t="s">
        <v>285</v>
      </c>
      <c r="L573" t="s">
        <v>1327</v>
      </c>
      <c r="M573" t="s">
        <v>85</v>
      </c>
      <c r="O573" t="s">
        <v>14</v>
      </c>
      <c r="P573" t="s">
        <v>1328</v>
      </c>
      <c r="Q573" t="s">
        <v>1329</v>
      </c>
      <c r="R573">
        <v>2019</v>
      </c>
      <c r="S573" t="s">
        <v>289</v>
      </c>
      <c r="U573" t="s">
        <v>1330</v>
      </c>
      <c r="V573" t="s">
        <v>1331</v>
      </c>
      <c r="W573" t="s">
        <v>91</v>
      </c>
      <c r="X573" t="s">
        <v>126</v>
      </c>
      <c r="Y573" t="s">
        <v>292</v>
      </c>
      <c r="Z573" t="s">
        <v>293</v>
      </c>
      <c r="AA573" t="s">
        <v>294</v>
      </c>
      <c r="AB573" t="s">
        <v>295</v>
      </c>
      <c r="AC573" t="s">
        <v>296</v>
      </c>
      <c r="AD573" t="s">
        <v>132</v>
      </c>
      <c r="AE573" t="s">
        <v>133</v>
      </c>
      <c r="AF573" t="s">
        <v>100</v>
      </c>
      <c r="AG573" t="s">
        <v>102</v>
      </c>
      <c r="AH573" t="s">
        <v>102</v>
      </c>
      <c r="AI573" t="s">
        <v>103</v>
      </c>
      <c r="AJ573" t="s">
        <v>135</v>
      </c>
      <c r="AK573">
        <f>271-175</f>
        <v>96</v>
      </c>
      <c r="AM573" t="s">
        <v>229</v>
      </c>
      <c r="AN573" t="s">
        <v>106</v>
      </c>
      <c r="AR573" t="s">
        <v>107</v>
      </c>
      <c r="AS573">
        <v>2016</v>
      </c>
      <c r="AT573">
        <f>83</f>
        <v>83</v>
      </c>
      <c r="AU573">
        <f>3.12</f>
        <v>3.12</v>
      </c>
      <c r="AV573">
        <v>271</v>
      </c>
      <c r="AW573" t="s">
        <v>108</v>
      </c>
      <c r="AX573">
        <v>16</v>
      </c>
      <c r="AY573" t="s">
        <v>103</v>
      </c>
      <c r="AZ573" t="s">
        <v>109</v>
      </c>
      <c r="BA573" t="s">
        <v>138</v>
      </c>
      <c r="BB573">
        <v>12</v>
      </c>
      <c r="BC573">
        <v>14</v>
      </c>
      <c r="BE573" t="s">
        <v>111</v>
      </c>
      <c r="BF573">
        <f>175-32</f>
        <v>143</v>
      </c>
      <c r="BG573">
        <f>0.2/60</f>
        <v>3.3333333333333335E-3</v>
      </c>
      <c r="BS573" t="s">
        <v>740</v>
      </c>
      <c r="BU573" t="s">
        <v>1335</v>
      </c>
      <c r="BV573">
        <v>32.635689999999997</v>
      </c>
      <c r="BW573">
        <v>1.1663524999999999</v>
      </c>
      <c r="BX573">
        <v>7</v>
      </c>
      <c r="BY573">
        <v>32.93421</v>
      </c>
      <c r="BZ573">
        <v>0.62342779999999998</v>
      </c>
      <c r="CA573">
        <v>7</v>
      </c>
      <c r="CB573" t="s">
        <v>113</v>
      </c>
      <c r="CC573" t="s">
        <v>1333</v>
      </c>
    </row>
    <row r="574" spans="1:81" x14ac:dyDescent="0.25">
      <c r="A574" t="s">
        <v>81</v>
      </c>
      <c r="B574">
        <v>573</v>
      </c>
      <c r="C574">
        <v>116</v>
      </c>
      <c r="D574">
        <v>14</v>
      </c>
      <c r="E574">
        <v>121</v>
      </c>
      <c r="F574">
        <v>122</v>
      </c>
      <c r="G574">
        <v>333</v>
      </c>
      <c r="H574">
        <v>463</v>
      </c>
      <c r="J574" t="s">
        <v>285</v>
      </c>
      <c r="L574" t="s">
        <v>1327</v>
      </c>
      <c r="M574" t="s">
        <v>85</v>
      </c>
      <c r="O574" t="s">
        <v>14</v>
      </c>
      <c r="P574" t="s">
        <v>1328</v>
      </c>
      <c r="Q574" t="s">
        <v>1329</v>
      </c>
      <c r="R574">
        <v>2019</v>
      </c>
      <c r="S574" t="s">
        <v>289</v>
      </c>
      <c r="U574" t="s">
        <v>1330</v>
      </c>
      <c r="V574" t="s">
        <v>1331</v>
      </c>
      <c r="W574" t="s">
        <v>91</v>
      </c>
      <c r="X574" t="s">
        <v>126</v>
      </c>
      <c r="Y574" t="s">
        <v>292</v>
      </c>
      <c r="Z574" t="s">
        <v>293</v>
      </c>
      <c r="AA574" t="s">
        <v>294</v>
      </c>
      <c r="AB574" t="s">
        <v>295</v>
      </c>
      <c r="AC574" t="s">
        <v>296</v>
      </c>
      <c r="AD574" t="s">
        <v>132</v>
      </c>
      <c r="AE574" t="s">
        <v>133</v>
      </c>
      <c r="AF574" t="s">
        <v>100</v>
      </c>
      <c r="AG574" t="s">
        <v>102</v>
      </c>
      <c r="AH574" t="s">
        <v>102</v>
      </c>
      <c r="AI574" t="s">
        <v>103</v>
      </c>
      <c r="AJ574" t="s">
        <v>135</v>
      </c>
      <c r="AK574">
        <f>271-175</f>
        <v>96</v>
      </c>
      <c r="AM574" t="s">
        <v>229</v>
      </c>
      <c r="AN574" t="s">
        <v>106</v>
      </c>
      <c r="AR574" t="s">
        <v>107</v>
      </c>
      <c r="AS574">
        <v>2016</v>
      </c>
      <c r="AT574">
        <f>(78+87)/2</f>
        <v>82.5</v>
      </c>
      <c r="AU574">
        <f>(2.39+3.01)/2</f>
        <v>2.7</v>
      </c>
      <c r="AV574">
        <v>271</v>
      </c>
      <c r="AW574" t="s">
        <v>108</v>
      </c>
      <c r="AX574">
        <v>16</v>
      </c>
      <c r="AY574" t="s">
        <v>103</v>
      </c>
      <c r="AZ574" t="s">
        <v>109</v>
      </c>
      <c r="BA574" t="s">
        <v>138</v>
      </c>
      <c r="BB574">
        <v>12</v>
      </c>
      <c r="BC574">
        <v>14</v>
      </c>
      <c r="BE574" t="s">
        <v>111</v>
      </c>
      <c r="BF574">
        <f>175-32</f>
        <v>143</v>
      </c>
      <c r="BG574">
        <f>0.2/60</f>
        <v>3.3333333333333335E-3</v>
      </c>
      <c r="BS574" t="s">
        <v>740</v>
      </c>
      <c r="BU574" t="s">
        <v>1336</v>
      </c>
      <c r="BV574">
        <v>32.625</v>
      </c>
      <c r="BW574">
        <v>0.24204239999999999</v>
      </c>
      <c r="BX574">
        <v>7</v>
      </c>
      <c r="BY574">
        <v>32.581409999999998</v>
      </c>
      <c r="BZ574">
        <v>0.58856830000000004</v>
      </c>
      <c r="CA574">
        <v>7</v>
      </c>
      <c r="CB574" t="s">
        <v>113</v>
      </c>
      <c r="CC574" t="s">
        <v>1333</v>
      </c>
    </row>
    <row r="575" spans="1:81" x14ac:dyDescent="0.25">
      <c r="A575" t="s">
        <v>81</v>
      </c>
      <c r="B575">
        <v>574</v>
      </c>
      <c r="C575">
        <v>118</v>
      </c>
      <c r="D575">
        <v>109</v>
      </c>
      <c r="E575">
        <v>122</v>
      </c>
      <c r="F575">
        <v>123</v>
      </c>
      <c r="G575">
        <v>334</v>
      </c>
      <c r="H575">
        <v>464</v>
      </c>
      <c r="J575" t="s">
        <v>119</v>
      </c>
      <c r="L575" t="s">
        <v>1337</v>
      </c>
      <c r="M575" t="s">
        <v>85</v>
      </c>
      <c r="O575" t="s">
        <v>14</v>
      </c>
      <c r="P575" t="s">
        <v>1338</v>
      </c>
      <c r="Q575" t="s">
        <v>1339</v>
      </c>
      <c r="R575">
        <v>2019</v>
      </c>
      <c r="S575" t="s">
        <v>342</v>
      </c>
      <c r="U575" t="s">
        <v>1340</v>
      </c>
      <c r="V575" t="s">
        <v>1341</v>
      </c>
      <c r="W575" t="s">
        <v>91</v>
      </c>
      <c r="X575" t="s">
        <v>126</v>
      </c>
      <c r="Y575" t="s">
        <v>127</v>
      </c>
      <c r="Z575" t="s">
        <v>1342</v>
      </c>
      <c r="AA575" t="s">
        <v>1343</v>
      </c>
      <c r="AB575" t="s">
        <v>1344</v>
      </c>
      <c r="AC575" t="s">
        <v>1343</v>
      </c>
      <c r="AD575" t="s">
        <v>132</v>
      </c>
      <c r="AE575" t="s">
        <v>133</v>
      </c>
      <c r="AF575" t="s">
        <v>100</v>
      </c>
      <c r="AG575" t="s">
        <v>102</v>
      </c>
      <c r="AH575" t="s">
        <v>102</v>
      </c>
      <c r="AI575" t="s">
        <v>134</v>
      </c>
      <c r="AJ575" t="s">
        <v>135</v>
      </c>
      <c r="AM575" t="s">
        <v>136</v>
      </c>
      <c r="AN575" t="s">
        <v>242</v>
      </c>
      <c r="AT575">
        <f>((4.44+4.72)/2)*10</f>
        <v>45.8</v>
      </c>
      <c r="AU575">
        <f>(2.59+2.69)/2</f>
        <v>2.6399999999999997</v>
      </c>
      <c r="AW575" t="s">
        <v>108</v>
      </c>
      <c r="AX575">
        <v>20</v>
      </c>
      <c r="AY575" t="s">
        <v>103</v>
      </c>
      <c r="AZ575" t="s">
        <v>109</v>
      </c>
      <c r="BA575" t="s">
        <v>138</v>
      </c>
      <c r="BB575">
        <v>15</v>
      </c>
      <c r="BC575">
        <v>25</v>
      </c>
      <c r="BE575" t="s">
        <v>139</v>
      </c>
      <c r="BF575">
        <v>21</v>
      </c>
      <c r="BG575">
        <v>0.3</v>
      </c>
      <c r="BR575" t="s">
        <v>69</v>
      </c>
      <c r="BU575" t="s">
        <v>1345</v>
      </c>
      <c r="BV575">
        <v>32.749000000000002</v>
      </c>
      <c r="BW575">
        <v>1.0434901000000001</v>
      </c>
      <c r="BX575">
        <v>14</v>
      </c>
      <c r="BY575">
        <v>37.14143</v>
      </c>
      <c r="BZ575">
        <v>0.78261760000000002</v>
      </c>
      <c r="CA575">
        <v>14</v>
      </c>
      <c r="CB575" t="s">
        <v>113</v>
      </c>
      <c r="CC575" t="s">
        <v>319</v>
      </c>
    </row>
    <row r="576" spans="1:81" x14ac:dyDescent="0.25">
      <c r="A576" t="s">
        <v>81</v>
      </c>
      <c r="B576">
        <v>575</v>
      </c>
      <c r="C576">
        <v>118</v>
      </c>
      <c r="D576">
        <v>110</v>
      </c>
      <c r="E576">
        <v>123</v>
      </c>
      <c r="F576">
        <v>124</v>
      </c>
      <c r="G576">
        <v>335</v>
      </c>
      <c r="H576">
        <v>465</v>
      </c>
      <c r="J576" t="s">
        <v>119</v>
      </c>
      <c r="L576" t="s">
        <v>1337</v>
      </c>
      <c r="M576" t="s">
        <v>85</v>
      </c>
      <c r="O576" t="s">
        <v>14</v>
      </c>
      <c r="P576" t="s">
        <v>1338</v>
      </c>
      <c r="Q576" t="s">
        <v>1339</v>
      </c>
      <c r="R576">
        <v>2019</v>
      </c>
      <c r="S576" t="s">
        <v>342</v>
      </c>
      <c r="U576" t="s">
        <v>1340</v>
      </c>
      <c r="V576" t="s">
        <v>1341</v>
      </c>
      <c r="W576" t="s">
        <v>91</v>
      </c>
      <c r="X576" t="s">
        <v>126</v>
      </c>
      <c r="Y576" t="s">
        <v>127</v>
      </c>
      <c r="Z576" t="s">
        <v>128</v>
      </c>
      <c r="AA576" t="s">
        <v>1346</v>
      </c>
      <c r="AB576" t="s">
        <v>1347</v>
      </c>
      <c r="AC576" t="s">
        <v>1346</v>
      </c>
      <c r="AD576" t="s">
        <v>132</v>
      </c>
      <c r="AE576" t="s">
        <v>133</v>
      </c>
      <c r="AF576" t="s">
        <v>100</v>
      </c>
      <c r="AG576" t="s">
        <v>102</v>
      </c>
      <c r="AH576" t="s">
        <v>102</v>
      </c>
      <c r="AI576" t="s">
        <v>134</v>
      </c>
      <c r="AJ576" t="s">
        <v>135</v>
      </c>
      <c r="AM576" t="s">
        <v>136</v>
      </c>
      <c r="AN576" t="s">
        <v>242</v>
      </c>
      <c r="AT576">
        <f>((6.97+7.08)/2)*10</f>
        <v>70.25</v>
      </c>
      <c r="AU576">
        <f>(6.22+6.3)/2</f>
        <v>6.26</v>
      </c>
      <c r="AW576" t="s">
        <v>108</v>
      </c>
      <c r="AX576">
        <v>20</v>
      </c>
      <c r="AY576" t="s">
        <v>103</v>
      </c>
      <c r="AZ576" t="s">
        <v>109</v>
      </c>
      <c r="BA576" t="s">
        <v>138</v>
      </c>
      <c r="BB576">
        <v>15</v>
      </c>
      <c r="BC576">
        <v>25</v>
      </c>
      <c r="BE576" t="s">
        <v>139</v>
      </c>
      <c r="BF576">
        <v>21</v>
      </c>
      <c r="BG576">
        <v>0.3</v>
      </c>
      <c r="BR576" t="s">
        <v>69</v>
      </c>
      <c r="BU576" t="s">
        <v>1345</v>
      </c>
      <c r="BV576">
        <v>32.539839999999998</v>
      </c>
      <c r="BW576">
        <v>0.78261760000000002</v>
      </c>
      <c r="BX576">
        <v>14</v>
      </c>
      <c r="BY576">
        <v>36.444220000000001</v>
      </c>
      <c r="BZ576">
        <v>2.0869802000000002</v>
      </c>
      <c r="CA576">
        <v>14</v>
      </c>
      <c r="CB576" t="s">
        <v>113</v>
      </c>
      <c r="CC576" t="s">
        <v>319</v>
      </c>
    </row>
    <row r="577" spans="1:81" x14ac:dyDescent="0.25">
      <c r="A577" t="s">
        <v>81</v>
      </c>
      <c r="B577">
        <v>576</v>
      </c>
      <c r="C577">
        <v>121</v>
      </c>
      <c r="D577">
        <v>81</v>
      </c>
      <c r="E577">
        <v>124</v>
      </c>
      <c r="F577">
        <v>125</v>
      </c>
      <c r="G577">
        <v>336</v>
      </c>
      <c r="H577">
        <v>466</v>
      </c>
      <c r="I577" t="s">
        <v>1348</v>
      </c>
      <c r="J577" t="s">
        <v>1349</v>
      </c>
      <c r="L577" t="s">
        <v>1350</v>
      </c>
      <c r="M577" t="s">
        <v>85</v>
      </c>
      <c r="O577" t="s">
        <v>250</v>
      </c>
      <c r="P577" t="s">
        <v>1351</v>
      </c>
      <c r="Q577" t="s">
        <v>1352</v>
      </c>
      <c r="R577">
        <v>2019</v>
      </c>
      <c r="S577" t="s">
        <v>253</v>
      </c>
      <c r="V577" t="s">
        <v>1353</v>
      </c>
      <c r="W577" t="s">
        <v>91</v>
      </c>
      <c r="X577" t="s">
        <v>126</v>
      </c>
      <c r="Y577" t="s">
        <v>292</v>
      </c>
      <c r="Z577" t="s">
        <v>293</v>
      </c>
      <c r="AA577" t="s">
        <v>294</v>
      </c>
      <c r="AB577" t="s">
        <v>1354</v>
      </c>
      <c r="AC577" t="s">
        <v>1355</v>
      </c>
      <c r="AD577" t="s">
        <v>132</v>
      </c>
      <c r="AE577" t="s">
        <v>133</v>
      </c>
      <c r="AF577" t="s">
        <v>100</v>
      </c>
      <c r="AG577" t="s">
        <v>101</v>
      </c>
      <c r="AH577" t="s">
        <v>102</v>
      </c>
      <c r="AI577" t="s">
        <v>103</v>
      </c>
      <c r="AJ577" t="s">
        <v>104</v>
      </c>
      <c r="AK577">
        <v>13</v>
      </c>
      <c r="AL577">
        <v>14.9</v>
      </c>
      <c r="AM577" t="s">
        <v>105</v>
      </c>
      <c r="AN577" t="s">
        <v>106</v>
      </c>
      <c r="AR577" t="s">
        <v>107</v>
      </c>
      <c r="AS577">
        <v>2017</v>
      </c>
      <c r="AT577">
        <f>(16.8159204+16.7839196)/2</f>
        <v>16.79992</v>
      </c>
      <c r="AU577">
        <f>(0.02419355+0.02409639)/2</f>
        <v>2.4144970000000002E-2</v>
      </c>
      <c r="AV577">
        <v>13</v>
      </c>
      <c r="AW577" t="s">
        <v>108</v>
      </c>
      <c r="AY577" t="s">
        <v>134</v>
      </c>
      <c r="AZ577" t="s">
        <v>109</v>
      </c>
      <c r="BA577" t="s">
        <v>180</v>
      </c>
      <c r="BB577">
        <v>12.4</v>
      </c>
      <c r="BC577">
        <v>15</v>
      </c>
      <c r="BD577">
        <v>0.2</v>
      </c>
      <c r="BE577" t="s">
        <v>139</v>
      </c>
      <c r="BF577">
        <f>(11+9)/2</f>
        <v>10</v>
      </c>
      <c r="BG577">
        <f t="shared" ref="BG577:BG619" si="27">1.25/10</f>
        <v>0.125</v>
      </c>
      <c r="BP577">
        <v>12</v>
      </c>
      <c r="BS577" t="s">
        <v>265</v>
      </c>
      <c r="BU577" t="s">
        <v>1356</v>
      </c>
      <c r="BV577">
        <v>26.346150000000002</v>
      </c>
      <c r="BW577">
        <v>1.1238030000000001</v>
      </c>
      <c r="BX577">
        <v>10</v>
      </c>
      <c r="BY577">
        <v>24.797149999999998</v>
      </c>
      <c r="BZ577">
        <v>1.3869639</v>
      </c>
      <c r="CA577">
        <v>10</v>
      </c>
      <c r="CB577" t="s">
        <v>113</v>
      </c>
      <c r="CC577" t="s">
        <v>319</v>
      </c>
    </row>
    <row r="578" spans="1:81" x14ac:dyDescent="0.25">
      <c r="A578" t="s">
        <v>81</v>
      </c>
      <c r="B578">
        <v>577</v>
      </c>
      <c r="C578">
        <v>121</v>
      </c>
      <c r="D578">
        <v>81</v>
      </c>
      <c r="E578">
        <v>124</v>
      </c>
      <c r="F578">
        <v>125</v>
      </c>
      <c r="G578">
        <v>336</v>
      </c>
      <c r="H578">
        <v>467</v>
      </c>
      <c r="I578" t="s">
        <v>1348</v>
      </c>
      <c r="J578" t="s">
        <v>1349</v>
      </c>
      <c r="L578" t="s">
        <v>1350</v>
      </c>
      <c r="M578" t="s">
        <v>85</v>
      </c>
      <c r="O578" t="s">
        <v>250</v>
      </c>
      <c r="P578" t="s">
        <v>1351</v>
      </c>
      <c r="Q578" t="s">
        <v>1352</v>
      </c>
      <c r="R578">
        <v>2019</v>
      </c>
      <c r="S578" t="s">
        <v>253</v>
      </c>
      <c r="V578" t="s">
        <v>1353</v>
      </c>
      <c r="W578" t="s">
        <v>91</v>
      </c>
      <c r="X578" t="s">
        <v>126</v>
      </c>
      <c r="Y578" t="s">
        <v>292</v>
      </c>
      <c r="Z578" t="s">
        <v>293</v>
      </c>
      <c r="AA578" t="s">
        <v>294</v>
      </c>
      <c r="AB578" t="s">
        <v>1354</v>
      </c>
      <c r="AC578" t="s">
        <v>1355</v>
      </c>
      <c r="AD578" t="s">
        <v>132</v>
      </c>
      <c r="AE578" t="s">
        <v>133</v>
      </c>
      <c r="AF578" t="s">
        <v>100</v>
      </c>
      <c r="AG578" t="s">
        <v>101</v>
      </c>
      <c r="AH578" t="s">
        <v>102</v>
      </c>
      <c r="AI578" t="s">
        <v>103</v>
      </c>
      <c r="AJ578" t="s">
        <v>104</v>
      </c>
      <c r="AK578">
        <v>13</v>
      </c>
      <c r="AL578">
        <v>14.9</v>
      </c>
      <c r="AM578" t="s">
        <v>105</v>
      </c>
      <c r="AN578" t="s">
        <v>106</v>
      </c>
      <c r="AR578" t="s">
        <v>107</v>
      </c>
      <c r="AS578">
        <v>2017</v>
      </c>
      <c r="AT578">
        <f>(16.7839196+15.88235294)/2</f>
        <v>16.333136270000001</v>
      </c>
      <c r="AU578">
        <f>(0.02409639+0.024)/2</f>
        <v>2.4048195000000001E-2</v>
      </c>
      <c r="AV578">
        <v>13</v>
      </c>
      <c r="AW578" t="s">
        <v>108</v>
      </c>
      <c r="AY578" t="s">
        <v>134</v>
      </c>
      <c r="AZ578" t="s">
        <v>109</v>
      </c>
      <c r="BA578" t="s">
        <v>180</v>
      </c>
      <c r="BB578">
        <v>15</v>
      </c>
      <c r="BC578">
        <v>17.8</v>
      </c>
      <c r="BD578">
        <v>0.3</v>
      </c>
      <c r="BE578" t="s">
        <v>139</v>
      </c>
      <c r="BF578">
        <f>(9+7)/2</f>
        <v>8</v>
      </c>
      <c r="BG578">
        <f t="shared" si="27"/>
        <v>0.125</v>
      </c>
      <c r="BP578">
        <v>12</v>
      </c>
      <c r="BS578" t="s">
        <v>265</v>
      </c>
      <c r="BU578" t="s">
        <v>1356</v>
      </c>
      <c r="BV578">
        <v>24.797149999999998</v>
      </c>
      <c r="BW578">
        <v>1.3869639</v>
      </c>
      <c r="BX578">
        <v>10</v>
      </c>
      <c r="BY578">
        <v>23.37171</v>
      </c>
      <c r="BZ578">
        <v>0.78016719999999995</v>
      </c>
      <c r="CA578">
        <v>10</v>
      </c>
      <c r="CB578" t="s">
        <v>113</v>
      </c>
      <c r="CC578" t="s">
        <v>319</v>
      </c>
    </row>
    <row r="579" spans="1:81" x14ac:dyDescent="0.25">
      <c r="A579" t="s">
        <v>81</v>
      </c>
      <c r="B579">
        <v>578</v>
      </c>
      <c r="C579">
        <v>121</v>
      </c>
      <c r="D579">
        <v>81</v>
      </c>
      <c r="E579">
        <v>124</v>
      </c>
      <c r="F579">
        <v>125</v>
      </c>
      <c r="G579">
        <v>337</v>
      </c>
      <c r="H579">
        <v>468</v>
      </c>
      <c r="I579" t="s">
        <v>1348</v>
      </c>
      <c r="J579" t="s">
        <v>1349</v>
      </c>
      <c r="L579" t="s">
        <v>1350</v>
      </c>
      <c r="M579" t="s">
        <v>85</v>
      </c>
      <c r="O579" t="s">
        <v>250</v>
      </c>
      <c r="P579" t="s">
        <v>1351</v>
      </c>
      <c r="Q579" t="s">
        <v>1352</v>
      </c>
      <c r="R579">
        <v>2019</v>
      </c>
      <c r="S579" t="s">
        <v>253</v>
      </c>
      <c r="V579" t="s">
        <v>1353</v>
      </c>
      <c r="W579" t="s">
        <v>91</v>
      </c>
      <c r="X579" t="s">
        <v>126</v>
      </c>
      <c r="Y579" t="s">
        <v>292</v>
      </c>
      <c r="Z579" t="s">
        <v>293</v>
      </c>
      <c r="AA579" t="s">
        <v>294</v>
      </c>
      <c r="AB579" t="s">
        <v>1354</v>
      </c>
      <c r="AC579" t="s">
        <v>1355</v>
      </c>
      <c r="AD579" t="s">
        <v>132</v>
      </c>
      <c r="AE579" t="s">
        <v>133</v>
      </c>
      <c r="AF579" t="s">
        <v>100</v>
      </c>
      <c r="AG579" t="s">
        <v>101</v>
      </c>
      <c r="AH579" t="s">
        <v>102</v>
      </c>
      <c r="AI579" t="s">
        <v>103</v>
      </c>
      <c r="AJ579" t="s">
        <v>104</v>
      </c>
      <c r="AK579">
        <v>16</v>
      </c>
      <c r="AL579">
        <v>14.9</v>
      </c>
      <c r="AM579" t="s">
        <v>105</v>
      </c>
      <c r="AN579" t="s">
        <v>106</v>
      </c>
      <c r="AR579" t="s">
        <v>107</v>
      </c>
      <c r="AS579">
        <v>2017</v>
      </c>
      <c r="AT579">
        <f>(17.21393035+17.5879397)/2</f>
        <v>17.400935024999999</v>
      </c>
      <c r="AU579">
        <f>(0.02419355+0.02409639)/2</f>
        <v>2.4144970000000002E-2</v>
      </c>
      <c r="AV579">
        <v>16</v>
      </c>
      <c r="AW579" t="s">
        <v>108</v>
      </c>
      <c r="AY579" t="s">
        <v>134</v>
      </c>
      <c r="AZ579" t="s">
        <v>109</v>
      </c>
      <c r="BA579" t="s">
        <v>180</v>
      </c>
      <c r="BB579">
        <v>12.4</v>
      </c>
      <c r="BC579">
        <v>15</v>
      </c>
      <c r="BD579">
        <v>0.2</v>
      </c>
      <c r="BE579" t="s">
        <v>139</v>
      </c>
      <c r="BF579">
        <f>(11+9)/2</f>
        <v>10</v>
      </c>
      <c r="BG579">
        <f t="shared" si="27"/>
        <v>0.125</v>
      </c>
      <c r="BP579">
        <v>12</v>
      </c>
      <c r="BS579" t="s">
        <v>265</v>
      </c>
      <c r="BU579" t="s">
        <v>1356</v>
      </c>
      <c r="BV579">
        <v>24.541920000000001</v>
      </c>
      <c r="BW579">
        <v>1.9018204999999999</v>
      </c>
      <c r="BX579">
        <v>10</v>
      </c>
      <c r="BY579">
        <v>24.71491</v>
      </c>
      <c r="BZ579">
        <v>1.5603343999999999</v>
      </c>
      <c r="CA579">
        <v>10</v>
      </c>
      <c r="CB579" t="s">
        <v>113</v>
      </c>
      <c r="CC579" t="s">
        <v>319</v>
      </c>
    </row>
    <row r="580" spans="1:81" x14ac:dyDescent="0.25">
      <c r="A580" t="s">
        <v>81</v>
      </c>
      <c r="B580">
        <v>579</v>
      </c>
      <c r="C580">
        <v>121</v>
      </c>
      <c r="D580">
        <v>81</v>
      </c>
      <c r="E580">
        <v>124</v>
      </c>
      <c r="F580">
        <v>125</v>
      </c>
      <c r="G580">
        <v>337</v>
      </c>
      <c r="H580">
        <v>469</v>
      </c>
      <c r="I580" t="s">
        <v>1348</v>
      </c>
      <c r="J580" t="s">
        <v>1349</v>
      </c>
      <c r="L580" t="s">
        <v>1350</v>
      </c>
      <c r="M580" t="s">
        <v>85</v>
      </c>
      <c r="O580" t="s">
        <v>250</v>
      </c>
      <c r="P580" t="s">
        <v>1351</v>
      </c>
      <c r="Q580" t="s">
        <v>1352</v>
      </c>
      <c r="R580">
        <v>2019</v>
      </c>
      <c r="S580" t="s">
        <v>253</v>
      </c>
      <c r="V580" t="s">
        <v>1353</v>
      </c>
      <c r="W580" t="s">
        <v>91</v>
      </c>
      <c r="X580" t="s">
        <v>126</v>
      </c>
      <c r="Y580" t="s">
        <v>292</v>
      </c>
      <c r="Z580" t="s">
        <v>293</v>
      </c>
      <c r="AA580" t="s">
        <v>294</v>
      </c>
      <c r="AB580" t="s">
        <v>1354</v>
      </c>
      <c r="AC580" t="s">
        <v>1355</v>
      </c>
      <c r="AD580" t="s">
        <v>132</v>
      </c>
      <c r="AE580" t="s">
        <v>133</v>
      </c>
      <c r="AF580" t="s">
        <v>100</v>
      </c>
      <c r="AG580" t="s">
        <v>101</v>
      </c>
      <c r="AH580" t="s">
        <v>102</v>
      </c>
      <c r="AI580" t="s">
        <v>103</v>
      </c>
      <c r="AJ580" t="s">
        <v>104</v>
      </c>
      <c r="AK580">
        <v>16</v>
      </c>
      <c r="AL580">
        <v>14.9</v>
      </c>
      <c r="AM580" t="s">
        <v>105</v>
      </c>
      <c r="AN580" t="s">
        <v>106</v>
      </c>
      <c r="AR580" t="s">
        <v>107</v>
      </c>
      <c r="AS580">
        <v>2017</v>
      </c>
      <c r="AT580">
        <f>(17.5879397+17.05882353)/2</f>
        <v>17.323381615000002</v>
      </c>
      <c r="AU580">
        <f>(0.02409639+0.03)/2</f>
        <v>2.7048194999999997E-2</v>
      </c>
      <c r="AV580">
        <v>16</v>
      </c>
      <c r="AW580" t="s">
        <v>108</v>
      </c>
      <c r="AY580" t="s">
        <v>134</v>
      </c>
      <c r="AZ580" t="s">
        <v>109</v>
      </c>
      <c r="BA580" t="s">
        <v>180</v>
      </c>
      <c r="BB580">
        <v>15</v>
      </c>
      <c r="BC580">
        <v>17.8</v>
      </c>
      <c r="BD580">
        <v>0.3</v>
      </c>
      <c r="BE580" t="s">
        <v>139</v>
      </c>
      <c r="BF580">
        <f>(9+7)/2</f>
        <v>8</v>
      </c>
      <c r="BG580">
        <f t="shared" si="27"/>
        <v>0.125</v>
      </c>
      <c r="BP580">
        <v>12</v>
      </c>
      <c r="BS580" t="s">
        <v>265</v>
      </c>
      <c r="BU580" t="s">
        <v>1356</v>
      </c>
      <c r="BV580">
        <v>24.71491</v>
      </c>
      <c r="BW580">
        <v>1.5603343999999999</v>
      </c>
      <c r="BX580">
        <v>10</v>
      </c>
      <c r="BY580">
        <v>25.098680000000002</v>
      </c>
      <c r="BZ580">
        <v>1.3869639</v>
      </c>
      <c r="CA580">
        <v>10</v>
      </c>
      <c r="CB580" t="s">
        <v>113</v>
      </c>
      <c r="CC580" t="s">
        <v>319</v>
      </c>
    </row>
    <row r="581" spans="1:81" x14ac:dyDescent="0.25">
      <c r="A581" t="s">
        <v>81</v>
      </c>
      <c r="B581">
        <v>580</v>
      </c>
      <c r="C581">
        <v>121</v>
      </c>
      <c r="D581">
        <v>81</v>
      </c>
      <c r="E581">
        <v>124</v>
      </c>
      <c r="F581">
        <v>125</v>
      </c>
      <c r="G581">
        <v>338</v>
      </c>
      <c r="H581">
        <v>470</v>
      </c>
      <c r="I581" t="s">
        <v>1348</v>
      </c>
      <c r="J581" t="s">
        <v>1349</v>
      </c>
      <c r="L581" t="s">
        <v>1350</v>
      </c>
      <c r="M581" t="s">
        <v>85</v>
      </c>
      <c r="O581" t="s">
        <v>250</v>
      </c>
      <c r="P581" t="s">
        <v>1351</v>
      </c>
      <c r="Q581" t="s">
        <v>1352</v>
      </c>
      <c r="R581">
        <v>2019</v>
      </c>
      <c r="S581" t="s">
        <v>253</v>
      </c>
      <c r="V581" t="s">
        <v>1353</v>
      </c>
      <c r="W581" t="s">
        <v>91</v>
      </c>
      <c r="X581" t="s">
        <v>126</v>
      </c>
      <c r="Y581" t="s">
        <v>292</v>
      </c>
      <c r="Z581" t="s">
        <v>293</v>
      </c>
      <c r="AA581" t="s">
        <v>294</v>
      </c>
      <c r="AB581" t="s">
        <v>1354</v>
      </c>
      <c r="AC581" t="s">
        <v>1355</v>
      </c>
      <c r="AD581" t="s">
        <v>132</v>
      </c>
      <c r="AE581" t="s">
        <v>133</v>
      </c>
      <c r="AF581" t="s">
        <v>100</v>
      </c>
      <c r="AG581" t="s">
        <v>101</v>
      </c>
      <c r="AH581" t="s">
        <v>102</v>
      </c>
      <c r="AI581" t="s">
        <v>103</v>
      </c>
      <c r="AJ581" t="s">
        <v>104</v>
      </c>
      <c r="AK581">
        <v>22</v>
      </c>
      <c r="AL581">
        <v>14.9</v>
      </c>
      <c r="AM581" t="s">
        <v>105</v>
      </c>
      <c r="AN581" t="s">
        <v>106</v>
      </c>
      <c r="AR581" t="s">
        <v>107</v>
      </c>
      <c r="AS581">
        <v>2017</v>
      </c>
      <c r="AT581">
        <f>(18.80597015+18.19095477)/2</f>
        <v>18.498462459999999</v>
      </c>
      <c r="AU581">
        <f>(0.03024194+0.02409639)/2</f>
        <v>2.7169164999999999E-2</v>
      </c>
      <c r="AV581">
        <v>22</v>
      </c>
      <c r="AW581" t="s">
        <v>108</v>
      </c>
      <c r="AY581" t="s">
        <v>134</v>
      </c>
      <c r="AZ581" t="s">
        <v>109</v>
      </c>
      <c r="BA581" t="s">
        <v>180</v>
      </c>
      <c r="BB581">
        <v>12.4</v>
      </c>
      <c r="BC581">
        <v>15</v>
      </c>
      <c r="BD581">
        <v>0.2</v>
      </c>
      <c r="BE581" t="s">
        <v>139</v>
      </c>
      <c r="BF581">
        <f>(11+9)/2</f>
        <v>10</v>
      </c>
      <c r="BG581">
        <f t="shared" si="27"/>
        <v>0.125</v>
      </c>
      <c r="BP581">
        <v>12</v>
      </c>
      <c r="BS581" t="s">
        <v>265</v>
      </c>
      <c r="BU581" t="s">
        <v>1356</v>
      </c>
      <c r="BV581">
        <v>28.01369</v>
      </c>
      <c r="BW581">
        <v>1.0373566000000001</v>
      </c>
      <c r="BX581">
        <v>10</v>
      </c>
      <c r="BY581">
        <v>26.49671</v>
      </c>
      <c r="BZ581">
        <v>1.8203901</v>
      </c>
      <c r="CA581">
        <v>10</v>
      </c>
      <c r="CB581" t="s">
        <v>113</v>
      </c>
      <c r="CC581" t="s">
        <v>319</v>
      </c>
    </row>
    <row r="582" spans="1:81" x14ac:dyDescent="0.25">
      <c r="A582" t="s">
        <v>81</v>
      </c>
      <c r="B582">
        <v>581</v>
      </c>
      <c r="C582">
        <v>121</v>
      </c>
      <c r="D582">
        <v>81</v>
      </c>
      <c r="E582">
        <v>124</v>
      </c>
      <c r="F582">
        <v>125</v>
      </c>
      <c r="G582">
        <v>338</v>
      </c>
      <c r="H582">
        <v>471</v>
      </c>
      <c r="I582" t="s">
        <v>1348</v>
      </c>
      <c r="J582" t="s">
        <v>1349</v>
      </c>
      <c r="L582" t="s">
        <v>1350</v>
      </c>
      <c r="M582" t="s">
        <v>85</v>
      </c>
      <c r="O582" t="s">
        <v>250</v>
      </c>
      <c r="P582" t="s">
        <v>1351</v>
      </c>
      <c r="Q582" t="s">
        <v>1352</v>
      </c>
      <c r="R582">
        <v>2019</v>
      </c>
      <c r="S582" t="s">
        <v>253</v>
      </c>
      <c r="V582" t="s">
        <v>1353</v>
      </c>
      <c r="W582" t="s">
        <v>91</v>
      </c>
      <c r="X582" t="s">
        <v>126</v>
      </c>
      <c r="Y582" t="s">
        <v>292</v>
      </c>
      <c r="Z582" t="s">
        <v>293</v>
      </c>
      <c r="AA582" t="s">
        <v>294</v>
      </c>
      <c r="AB582" t="s">
        <v>1354</v>
      </c>
      <c r="AC582" t="s">
        <v>1355</v>
      </c>
      <c r="AD582" t="s">
        <v>132</v>
      </c>
      <c r="AE582" t="s">
        <v>133</v>
      </c>
      <c r="AF582" t="s">
        <v>100</v>
      </c>
      <c r="AG582" t="s">
        <v>101</v>
      </c>
      <c r="AH582" t="s">
        <v>102</v>
      </c>
      <c r="AI582" t="s">
        <v>103</v>
      </c>
      <c r="AJ582" t="s">
        <v>104</v>
      </c>
      <c r="AK582">
        <v>22</v>
      </c>
      <c r="AL582">
        <v>14.9</v>
      </c>
      <c r="AM582" t="s">
        <v>105</v>
      </c>
      <c r="AN582" t="s">
        <v>106</v>
      </c>
      <c r="AR582" t="s">
        <v>107</v>
      </c>
      <c r="AS582">
        <v>2017</v>
      </c>
      <c r="AT582">
        <f>(18.19095477+17.84313725)/2</f>
        <v>18.017046010000001</v>
      </c>
      <c r="AU582">
        <f>(0.02409639+0.036)/2</f>
        <v>3.0048195E-2</v>
      </c>
      <c r="AV582">
        <v>22</v>
      </c>
      <c r="AW582" t="s">
        <v>108</v>
      </c>
      <c r="AY582" t="s">
        <v>134</v>
      </c>
      <c r="AZ582" t="s">
        <v>109</v>
      </c>
      <c r="BA582" t="s">
        <v>180</v>
      </c>
      <c r="BB582">
        <v>15</v>
      </c>
      <c r="BC582">
        <v>17.8</v>
      </c>
      <c r="BD582">
        <v>0.3</v>
      </c>
      <c r="BE582" t="s">
        <v>139</v>
      </c>
      <c r="BF582">
        <f>(9+7)/2</f>
        <v>8</v>
      </c>
      <c r="BG582">
        <f t="shared" si="27"/>
        <v>0.125</v>
      </c>
      <c r="BP582">
        <v>12</v>
      </c>
      <c r="BS582" t="s">
        <v>265</v>
      </c>
      <c r="BU582" t="s">
        <v>1356</v>
      </c>
      <c r="BV582">
        <v>26.49671</v>
      </c>
      <c r="BW582">
        <v>1.8203901</v>
      </c>
      <c r="BX582">
        <v>10</v>
      </c>
      <c r="BY582">
        <v>25.592110000000002</v>
      </c>
      <c r="BZ582">
        <v>1.1269081999999999</v>
      </c>
      <c r="CA582">
        <v>10</v>
      </c>
      <c r="CB582" t="s">
        <v>113</v>
      </c>
      <c r="CC582" t="s">
        <v>319</v>
      </c>
    </row>
    <row r="583" spans="1:81" x14ac:dyDescent="0.25">
      <c r="A583" t="s">
        <v>81</v>
      </c>
      <c r="B583">
        <v>582</v>
      </c>
      <c r="C583">
        <v>121</v>
      </c>
      <c r="D583">
        <v>81</v>
      </c>
      <c r="E583">
        <v>124</v>
      </c>
      <c r="F583">
        <v>125</v>
      </c>
      <c r="G583">
        <v>339</v>
      </c>
      <c r="H583">
        <v>472</v>
      </c>
      <c r="I583" t="s">
        <v>1348</v>
      </c>
      <c r="J583" t="s">
        <v>1349</v>
      </c>
      <c r="L583" t="s">
        <v>1350</v>
      </c>
      <c r="M583" t="s">
        <v>85</v>
      </c>
      <c r="O583" t="s">
        <v>250</v>
      </c>
      <c r="P583" t="s">
        <v>1351</v>
      </c>
      <c r="Q583" t="s">
        <v>1352</v>
      </c>
      <c r="R583">
        <v>2019</v>
      </c>
      <c r="S583" t="s">
        <v>253</v>
      </c>
      <c r="V583" t="s">
        <v>1353</v>
      </c>
      <c r="W583" t="s">
        <v>91</v>
      </c>
      <c r="X583" t="s">
        <v>126</v>
      </c>
      <c r="Y583" t="s">
        <v>292</v>
      </c>
      <c r="Z583" t="s">
        <v>293</v>
      </c>
      <c r="AA583" t="s">
        <v>294</v>
      </c>
      <c r="AB583" t="s">
        <v>1354</v>
      </c>
      <c r="AC583" t="s">
        <v>1355</v>
      </c>
      <c r="AD583" t="s">
        <v>132</v>
      </c>
      <c r="AE583" t="s">
        <v>133</v>
      </c>
      <c r="AF583" t="s">
        <v>100</v>
      </c>
      <c r="AG583" t="s">
        <v>101</v>
      </c>
      <c r="AH583" t="s">
        <v>102</v>
      </c>
      <c r="AI583" t="s">
        <v>103</v>
      </c>
      <c r="AJ583" t="s">
        <v>104</v>
      </c>
      <c r="AK583">
        <v>30</v>
      </c>
      <c r="AL583">
        <v>14.9</v>
      </c>
      <c r="AM583" t="s">
        <v>105</v>
      </c>
      <c r="AN583" t="s">
        <v>106</v>
      </c>
      <c r="AR583" t="s">
        <v>107</v>
      </c>
      <c r="AS583">
        <v>2017</v>
      </c>
      <c r="AT583">
        <f>(19.80099502+18.59296482)/2</f>
        <v>19.196979919999997</v>
      </c>
      <c r="AU583">
        <f>(0.03024194+0.01807229)/2</f>
        <v>2.4157115E-2</v>
      </c>
      <c r="AV583">
        <v>30</v>
      </c>
      <c r="AW583" t="s">
        <v>108</v>
      </c>
      <c r="AY583" t="s">
        <v>134</v>
      </c>
      <c r="AZ583" t="s">
        <v>109</v>
      </c>
      <c r="BA583" t="s">
        <v>180</v>
      </c>
      <c r="BB583">
        <v>12.4</v>
      </c>
      <c r="BC583">
        <v>15</v>
      </c>
      <c r="BD583">
        <v>0.2</v>
      </c>
      <c r="BE583" t="s">
        <v>139</v>
      </c>
      <c r="BF583">
        <f>(11+9)/2</f>
        <v>10</v>
      </c>
      <c r="BG583">
        <f t="shared" si="27"/>
        <v>0.125</v>
      </c>
      <c r="BP583">
        <v>12</v>
      </c>
      <c r="BS583" t="s">
        <v>265</v>
      </c>
      <c r="BU583" t="s">
        <v>1356</v>
      </c>
      <c r="BV583">
        <v>29.57188</v>
      </c>
      <c r="BW583">
        <v>1.1238030000000001</v>
      </c>
      <c r="BX583">
        <v>10</v>
      </c>
      <c r="BY583">
        <v>28.415569999999999</v>
      </c>
      <c r="BZ583">
        <v>0.95353770000000004</v>
      </c>
      <c r="CA583">
        <v>10</v>
      </c>
      <c r="CB583" t="s">
        <v>113</v>
      </c>
      <c r="CC583" t="s">
        <v>319</v>
      </c>
    </row>
    <row r="584" spans="1:81" x14ac:dyDescent="0.25">
      <c r="A584" t="s">
        <v>81</v>
      </c>
      <c r="B584">
        <v>583</v>
      </c>
      <c r="C584">
        <v>121</v>
      </c>
      <c r="D584">
        <v>81</v>
      </c>
      <c r="E584">
        <v>124</v>
      </c>
      <c r="F584">
        <v>125</v>
      </c>
      <c r="G584">
        <v>339</v>
      </c>
      <c r="H584">
        <v>473</v>
      </c>
      <c r="I584" t="s">
        <v>1348</v>
      </c>
      <c r="J584" t="s">
        <v>1349</v>
      </c>
      <c r="L584" t="s">
        <v>1350</v>
      </c>
      <c r="M584" t="s">
        <v>85</v>
      </c>
      <c r="O584" t="s">
        <v>250</v>
      </c>
      <c r="P584" t="s">
        <v>1351</v>
      </c>
      <c r="Q584" t="s">
        <v>1352</v>
      </c>
      <c r="R584">
        <v>2019</v>
      </c>
      <c r="S584" t="s">
        <v>253</v>
      </c>
      <c r="V584" t="s">
        <v>1353</v>
      </c>
      <c r="W584" t="s">
        <v>91</v>
      </c>
      <c r="X584" t="s">
        <v>126</v>
      </c>
      <c r="Y584" t="s">
        <v>292</v>
      </c>
      <c r="Z584" t="s">
        <v>293</v>
      </c>
      <c r="AA584" t="s">
        <v>294</v>
      </c>
      <c r="AB584" t="s">
        <v>1354</v>
      </c>
      <c r="AC584" t="s">
        <v>1355</v>
      </c>
      <c r="AD584" t="s">
        <v>132</v>
      </c>
      <c r="AE584" t="s">
        <v>133</v>
      </c>
      <c r="AF584" t="s">
        <v>100</v>
      </c>
      <c r="AG584" t="s">
        <v>101</v>
      </c>
      <c r="AH584" t="s">
        <v>102</v>
      </c>
      <c r="AI584" t="s">
        <v>103</v>
      </c>
      <c r="AJ584" t="s">
        <v>104</v>
      </c>
      <c r="AK584">
        <v>30</v>
      </c>
      <c r="AL584">
        <v>14.9</v>
      </c>
      <c r="AM584" t="s">
        <v>105</v>
      </c>
      <c r="AN584" t="s">
        <v>106</v>
      </c>
      <c r="AR584" t="s">
        <v>107</v>
      </c>
      <c r="AS584">
        <v>2017</v>
      </c>
      <c r="AT584">
        <f>(18.59296482+19.41176471)/2</f>
        <v>19.002364764999999</v>
      </c>
      <c r="AU584">
        <f>(0.01807229+0.036)/2</f>
        <v>2.7036144999999998E-2</v>
      </c>
      <c r="AV584">
        <v>30</v>
      </c>
      <c r="AW584" t="s">
        <v>108</v>
      </c>
      <c r="AY584" t="s">
        <v>134</v>
      </c>
      <c r="AZ584" t="s">
        <v>109</v>
      </c>
      <c r="BA584" t="s">
        <v>180</v>
      </c>
      <c r="BB584">
        <v>15</v>
      </c>
      <c r="BC584">
        <v>17.8</v>
      </c>
      <c r="BD584">
        <v>0.3</v>
      </c>
      <c r="BE584" t="s">
        <v>139</v>
      </c>
      <c r="BF584">
        <f>(9+7)/2</f>
        <v>8</v>
      </c>
      <c r="BG584">
        <f t="shared" si="27"/>
        <v>0.125</v>
      </c>
      <c r="BP584">
        <v>12</v>
      </c>
      <c r="BS584" t="s">
        <v>265</v>
      </c>
      <c r="BU584" t="s">
        <v>1356</v>
      </c>
      <c r="BV584">
        <v>28.415569999999999</v>
      </c>
      <c r="BW584">
        <v>0.95353770000000004</v>
      </c>
      <c r="BX584">
        <v>10</v>
      </c>
      <c r="BY584">
        <v>28.991230000000002</v>
      </c>
      <c r="BZ584">
        <v>0.60679669999999997</v>
      </c>
      <c r="CA584">
        <v>10</v>
      </c>
      <c r="CB584" t="s">
        <v>113</v>
      </c>
      <c r="CC584" t="s">
        <v>319</v>
      </c>
    </row>
    <row r="585" spans="1:81" x14ac:dyDescent="0.25">
      <c r="A585" t="s">
        <v>81</v>
      </c>
      <c r="B585">
        <v>584</v>
      </c>
      <c r="C585">
        <v>121</v>
      </c>
      <c r="D585">
        <v>81</v>
      </c>
      <c r="E585">
        <v>124</v>
      </c>
      <c r="F585">
        <v>125</v>
      </c>
      <c r="G585">
        <v>340</v>
      </c>
      <c r="H585">
        <v>474</v>
      </c>
      <c r="I585" t="s">
        <v>1348</v>
      </c>
      <c r="J585" t="s">
        <v>1349</v>
      </c>
      <c r="L585" t="s">
        <v>1350</v>
      </c>
      <c r="M585" t="s">
        <v>85</v>
      </c>
      <c r="O585" t="s">
        <v>250</v>
      </c>
      <c r="P585" t="s">
        <v>1351</v>
      </c>
      <c r="Q585" t="s">
        <v>1352</v>
      </c>
      <c r="R585">
        <v>2019</v>
      </c>
      <c r="S585" t="s">
        <v>253</v>
      </c>
      <c r="V585" t="s">
        <v>1353</v>
      </c>
      <c r="W585" t="s">
        <v>91</v>
      </c>
      <c r="X585" t="s">
        <v>126</v>
      </c>
      <c r="Y585" t="s">
        <v>292</v>
      </c>
      <c r="Z585" t="s">
        <v>293</v>
      </c>
      <c r="AA585" t="s">
        <v>294</v>
      </c>
      <c r="AB585" t="s">
        <v>1354</v>
      </c>
      <c r="AC585" t="s">
        <v>1355</v>
      </c>
      <c r="AD585" t="s">
        <v>132</v>
      </c>
      <c r="AE585" t="s">
        <v>133</v>
      </c>
      <c r="AF585" t="s">
        <v>100</v>
      </c>
      <c r="AG585" t="s">
        <v>101</v>
      </c>
      <c r="AH585" t="s">
        <v>102</v>
      </c>
      <c r="AI585" t="s">
        <v>103</v>
      </c>
      <c r="AJ585" t="s">
        <v>104</v>
      </c>
      <c r="AK585">
        <v>40</v>
      </c>
      <c r="AL585">
        <v>14.9</v>
      </c>
      <c r="AM585" t="s">
        <v>105</v>
      </c>
      <c r="AN585" t="s">
        <v>106</v>
      </c>
      <c r="AR585" t="s">
        <v>107</v>
      </c>
      <c r="AS585">
        <v>2017</v>
      </c>
      <c r="AT585">
        <f>(22.98507463+22.81407035)/2</f>
        <v>22.899572490000001</v>
      </c>
      <c r="AU585">
        <f>(0.06653226+0.04819277)/2</f>
        <v>5.7362515000000003E-2</v>
      </c>
      <c r="AV585">
        <v>40</v>
      </c>
      <c r="AW585" t="s">
        <v>108</v>
      </c>
      <c r="AY585" t="s">
        <v>134</v>
      </c>
      <c r="AZ585" t="s">
        <v>109</v>
      </c>
      <c r="BA585" t="s">
        <v>180</v>
      </c>
      <c r="BB585">
        <v>12.4</v>
      </c>
      <c r="BC585">
        <v>15</v>
      </c>
      <c r="BD585">
        <v>0.2</v>
      </c>
      <c r="BE585" t="s">
        <v>139</v>
      </c>
      <c r="BF585">
        <f>(11+9)/2</f>
        <v>10</v>
      </c>
      <c r="BG585">
        <f t="shared" si="27"/>
        <v>0.125</v>
      </c>
      <c r="BP585">
        <v>12</v>
      </c>
      <c r="BS585" t="s">
        <v>265</v>
      </c>
      <c r="BU585" t="s">
        <v>1356</v>
      </c>
      <c r="BV585">
        <v>30.556010000000001</v>
      </c>
      <c r="BW585">
        <v>0.4322319</v>
      </c>
      <c r="BX585">
        <v>10</v>
      </c>
      <c r="BY585">
        <v>30.471489999999999</v>
      </c>
      <c r="BZ585">
        <v>0.69348189999999998</v>
      </c>
      <c r="CA585">
        <v>10</v>
      </c>
      <c r="CB585" t="s">
        <v>113</v>
      </c>
      <c r="CC585" t="s">
        <v>319</v>
      </c>
    </row>
    <row r="586" spans="1:81" x14ac:dyDescent="0.25">
      <c r="A586" t="s">
        <v>81</v>
      </c>
      <c r="B586">
        <v>585</v>
      </c>
      <c r="C586">
        <v>121</v>
      </c>
      <c r="D586">
        <v>81</v>
      </c>
      <c r="E586">
        <v>124</v>
      </c>
      <c r="F586">
        <v>125</v>
      </c>
      <c r="G586">
        <v>340</v>
      </c>
      <c r="H586">
        <v>475</v>
      </c>
      <c r="I586" t="s">
        <v>1348</v>
      </c>
      <c r="J586" t="s">
        <v>1349</v>
      </c>
      <c r="L586" t="s">
        <v>1350</v>
      </c>
      <c r="M586" t="s">
        <v>85</v>
      </c>
      <c r="O586" t="s">
        <v>250</v>
      </c>
      <c r="P586" t="s">
        <v>1351</v>
      </c>
      <c r="Q586" t="s">
        <v>1352</v>
      </c>
      <c r="R586">
        <v>2019</v>
      </c>
      <c r="S586" t="s">
        <v>253</v>
      </c>
      <c r="V586" t="s">
        <v>1353</v>
      </c>
      <c r="W586" t="s">
        <v>91</v>
      </c>
      <c r="X586" t="s">
        <v>126</v>
      </c>
      <c r="Y586" t="s">
        <v>292</v>
      </c>
      <c r="Z586" t="s">
        <v>293</v>
      </c>
      <c r="AA586" t="s">
        <v>294</v>
      </c>
      <c r="AB586" t="s">
        <v>1354</v>
      </c>
      <c r="AC586" t="s">
        <v>1355</v>
      </c>
      <c r="AD586" t="s">
        <v>132</v>
      </c>
      <c r="AE586" t="s">
        <v>133</v>
      </c>
      <c r="AF586" t="s">
        <v>100</v>
      </c>
      <c r="AG586" t="s">
        <v>101</v>
      </c>
      <c r="AH586" t="s">
        <v>102</v>
      </c>
      <c r="AI586" t="s">
        <v>103</v>
      </c>
      <c r="AJ586" t="s">
        <v>104</v>
      </c>
      <c r="AK586">
        <v>40</v>
      </c>
      <c r="AL586">
        <v>14.9</v>
      </c>
      <c r="AM586" t="s">
        <v>105</v>
      </c>
      <c r="AN586" t="s">
        <v>106</v>
      </c>
      <c r="AR586" t="s">
        <v>107</v>
      </c>
      <c r="AS586">
        <v>2017</v>
      </c>
      <c r="AT586">
        <f>(22.81407035+20.19607843)/2</f>
        <v>21.505074390000001</v>
      </c>
      <c r="AU586">
        <f>(0.04819277+0.036)/2</f>
        <v>4.2096385E-2</v>
      </c>
      <c r="AV586">
        <v>40</v>
      </c>
      <c r="AW586" t="s">
        <v>108</v>
      </c>
      <c r="AY586" t="s">
        <v>134</v>
      </c>
      <c r="AZ586" t="s">
        <v>109</v>
      </c>
      <c r="BA586" t="s">
        <v>180</v>
      </c>
      <c r="BB586">
        <v>15</v>
      </c>
      <c r="BC586">
        <v>17.8</v>
      </c>
      <c r="BD586">
        <v>0.3</v>
      </c>
      <c r="BE586" t="s">
        <v>139</v>
      </c>
      <c r="BF586">
        <f>(9+7)/2</f>
        <v>8</v>
      </c>
      <c r="BG586">
        <f t="shared" si="27"/>
        <v>0.125</v>
      </c>
      <c r="BP586">
        <v>12</v>
      </c>
      <c r="BS586" t="s">
        <v>265</v>
      </c>
      <c r="BU586" t="s">
        <v>1356</v>
      </c>
      <c r="BV586">
        <v>30.471489999999999</v>
      </c>
      <c r="BW586">
        <v>0.69348189999999998</v>
      </c>
      <c r="BX586">
        <v>10</v>
      </c>
      <c r="BY586">
        <v>29.703949999999999</v>
      </c>
      <c r="BZ586">
        <v>1.7337049</v>
      </c>
      <c r="CA586">
        <v>10</v>
      </c>
      <c r="CB586" t="s">
        <v>113</v>
      </c>
      <c r="CC586" t="s">
        <v>319</v>
      </c>
    </row>
    <row r="587" spans="1:81" x14ac:dyDescent="0.25">
      <c r="A587" t="s">
        <v>81</v>
      </c>
      <c r="B587">
        <v>586</v>
      </c>
      <c r="C587">
        <v>121</v>
      </c>
      <c r="D587">
        <v>81</v>
      </c>
      <c r="E587">
        <v>124</v>
      </c>
      <c r="F587">
        <v>125</v>
      </c>
      <c r="G587">
        <v>341</v>
      </c>
      <c r="H587">
        <v>476</v>
      </c>
      <c r="I587" t="s">
        <v>1348</v>
      </c>
      <c r="J587" t="s">
        <v>1349</v>
      </c>
      <c r="L587" t="s">
        <v>1350</v>
      </c>
      <c r="M587" t="s">
        <v>85</v>
      </c>
      <c r="O587" t="s">
        <v>250</v>
      </c>
      <c r="P587" t="s">
        <v>1351</v>
      </c>
      <c r="Q587" t="s">
        <v>1352</v>
      </c>
      <c r="R587">
        <v>2019</v>
      </c>
      <c r="S587" t="s">
        <v>253</v>
      </c>
      <c r="V587" t="s">
        <v>1353</v>
      </c>
      <c r="W587" t="s">
        <v>91</v>
      </c>
      <c r="X587" t="s">
        <v>126</v>
      </c>
      <c r="Y587" t="s">
        <v>292</v>
      </c>
      <c r="Z587" t="s">
        <v>293</v>
      </c>
      <c r="AA587" t="s">
        <v>294</v>
      </c>
      <c r="AB587" t="s">
        <v>1354</v>
      </c>
      <c r="AC587" t="s">
        <v>1355</v>
      </c>
      <c r="AD587" t="s">
        <v>132</v>
      </c>
      <c r="AE587" t="s">
        <v>133</v>
      </c>
      <c r="AF587" t="s">
        <v>100</v>
      </c>
      <c r="AG587" t="s">
        <v>101</v>
      </c>
      <c r="AH587" t="s">
        <v>102</v>
      </c>
      <c r="AI587" t="s">
        <v>103</v>
      </c>
      <c r="AJ587" t="s">
        <v>104</v>
      </c>
      <c r="AK587">
        <v>50</v>
      </c>
      <c r="AL587">
        <v>14.9</v>
      </c>
      <c r="AM587" t="s">
        <v>105</v>
      </c>
      <c r="AN587" t="s">
        <v>106</v>
      </c>
      <c r="AR587" t="s">
        <v>107</v>
      </c>
      <c r="AS587">
        <v>2017</v>
      </c>
      <c r="AT587">
        <f>(25.37313433+27.83919598)/2</f>
        <v>26.606165154999999</v>
      </c>
      <c r="AU587">
        <f>(0.09072581+0.11445783)/2</f>
        <v>0.10259182</v>
      </c>
      <c r="AV587">
        <v>50</v>
      </c>
      <c r="AW587" t="s">
        <v>108</v>
      </c>
      <c r="AY587" t="s">
        <v>134</v>
      </c>
      <c r="AZ587" t="s">
        <v>109</v>
      </c>
      <c r="BA587" t="s">
        <v>180</v>
      </c>
      <c r="BB587">
        <v>12.4</v>
      </c>
      <c r="BC587">
        <v>15</v>
      </c>
      <c r="BD587">
        <v>0.2</v>
      </c>
      <c r="BE587" t="s">
        <v>139</v>
      </c>
      <c r="BF587">
        <f>(11+9)/2</f>
        <v>10</v>
      </c>
      <c r="BG587">
        <f t="shared" si="27"/>
        <v>0.125</v>
      </c>
      <c r="BP587">
        <v>12</v>
      </c>
      <c r="BS587" t="s">
        <v>265</v>
      </c>
      <c r="BU587" t="s">
        <v>1356</v>
      </c>
      <c r="BV587">
        <v>30.419319999999999</v>
      </c>
      <c r="BW587">
        <v>0.4322319</v>
      </c>
      <c r="BX587">
        <v>10</v>
      </c>
      <c r="BY587">
        <v>30.827850000000002</v>
      </c>
      <c r="BZ587">
        <v>0.60679669999999997</v>
      </c>
      <c r="CA587">
        <v>10</v>
      </c>
      <c r="CB587" t="s">
        <v>113</v>
      </c>
      <c r="CC587" t="s">
        <v>319</v>
      </c>
    </row>
    <row r="588" spans="1:81" x14ac:dyDescent="0.25">
      <c r="A588" t="s">
        <v>81</v>
      </c>
      <c r="B588">
        <v>587</v>
      </c>
      <c r="C588">
        <v>121</v>
      </c>
      <c r="D588">
        <v>81</v>
      </c>
      <c r="E588">
        <v>124</v>
      </c>
      <c r="F588">
        <v>125</v>
      </c>
      <c r="G588">
        <v>341</v>
      </c>
      <c r="H588">
        <v>477</v>
      </c>
      <c r="I588" t="s">
        <v>1348</v>
      </c>
      <c r="J588" t="s">
        <v>1349</v>
      </c>
      <c r="L588" t="s">
        <v>1350</v>
      </c>
      <c r="M588" t="s">
        <v>85</v>
      </c>
      <c r="O588" t="s">
        <v>250</v>
      </c>
      <c r="P588" t="s">
        <v>1351</v>
      </c>
      <c r="Q588" t="s">
        <v>1352</v>
      </c>
      <c r="R588">
        <v>2019</v>
      </c>
      <c r="S588" t="s">
        <v>253</v>
      </c>
      <c r="V588" t="s">
        <v>1353</v>
      </c>
      <c r="W588" t="s">
        <v>91</v>
      </c>
      <c r="X588" t="s">
        <v>126</v>
      </c>
      <c r="Y588" t="s">
        <v>292</v>
      </c>
      <c r="Z588" t="s">
        <v>293</v>
      </c>
      <c r="AA588" t="s">
        <v>294</v>
      </c>
      <c r="AB588" t="s">
        <v>1354</v>
      </c>
      <c r="AC588" t="s">
        <v>1355</v>
      </c>
      <c r="AD588" t="s">
        <v>132</v>
      </c>
      <c r="AE588" t="s">
        <v>133</v>
      </c>
      <c r="AF588" t="s">
        <v>100</v>
      </c>
      <c r="AG588" t="s">
        <v>101</v>
      </c>
      <c r="AH588" t="s">
        <v>102</v>
      </c>
      <c r="AI588" t="s">
        <v>103</v>
      </c>
      <c r="AJ588" t="s">
        <v>104</v>
      </c>
      <c r="AK588">
        <v>50</v>
      </c>
      <c r="AL588">
        <v>14.9</v>
      </c>
      <c r="AM588" t="s">
        <v>105</v>
      </c>
      <c r="AN588" t="s">
        <v>106</v>
      </c>
      <c r="AR588" t="s">
        <v>107</v>
      </c>
      <c r="AS588">
        <v>2017</v>
      </c>
      <c r="AT588">
        <f>(27.83919598+27.84313725)/2</f>
        <v>27.841166614999999</v>
      </c>
      <c r="AU588">
        <f>(0.11445783+0.114)/2</f>
        <v>0.114228915</v>
      </c>
      <c r="AV588">
        <v>50</v>
      </c>
      <c r="AW588" t="s">
        <v>108</v>
      </c>
      <c r="AY588" t="s">
        <v>134</v>
      </c>
      <c r="AZ588" t="s">
        <v>109</v>
      </c>
      <c r="BA588" t="s">
        <v>180</v>
      </c>
      <c r="BB588">
        <v>15</v>
      </c>
      <c r="BC588">
        <v>17.8</v>
      </c>
      <c r="BD588">
        <v>0.3</v>
      </c>
      <c r="BE588" t="s">
        <v>139</v>
      </c>
      <c r="BF588">
        <f>(9+7)/2</f>
        <v>8</v>
      </c>
      <c r="BG588">
        <f t="shared" si="27"/>
        <v>0.125</v>
      </c>
      <c r="BP588">
        <v>12</v>
      </c>
      <c r="BS588" t="s">
        <v>265</v>
      </c>
      <c r="BU588" t="s">
        <v>1356</v>
      </c>
      <c r="BV588">
        <v>30.827850000000002</v>
      </c>
      <c r="BW588">
        <v>0.60679669999999997</v>
      </c>
      <c r="BX588">
        <v>10</v>
      </c>
      <c r="BY588">
        <v>30.773029999999999</v>
      </c>
      <c r="BZ588">
        <v>0.43342619999999998</v>
      </c>
      <c r="CA588">
        <v>10</v>
      </c>
      <c r="CB588" t="s">
        <v>113</v>
      </c>
      <c r="CC588" t="s">
        <v>319</v>
      </c>
    </row>
    <row r="589" spans="1:81" x14ac:dyDescent="0.25">
      <c r="A589" t="s">
        <v>81</v>
      </c>
      <c r="B589">
        <v>588</v>
      </c>
      <c r="C589">
        <v>121</v>
      </c>
      <c r="D589">
        <v>81</v>
      </c>
      <c r="E589">
        <v>124</v>
      </c>
      <c r="F589">
        <v>125</v>
      </c>
      <c r="G589">
        <v>342</v>
      </c>
      <c r="H589">
        <v>478</v>
      </c>
      <c r="I589" t="s">
        <v>1348</v>
      </c>
      <c r="J589" t="s">
        <v>1349</v>
      </c>
      <c r="L589" t="s">
        <v>1350</v>
      </c>
      <c r="M589" t="s">
        <v>85</v>
      </c>
      <c r="O589" t="s">
        <v>250</v>
      </c>
      <c r="P589" t="s">
        <v>1351</v>
      </c>
      <c r="Q589" t="s">
        <v>1352</v>
      </c>
      <c r="R589">
        <v>2019</v>
      </c>
      <c r="S589" t="s">
        <v>253</v>
      </c>
      <c r="V589" t="s">
        <v>1353</v>
      </c>
      <c r="W589" t="s">
        <v>91</v>
      </c>
      <c r="X589" t="s">
        <v>126</v>
      </c>
      <c r="Y589" t="s">
        <v>292</v>
      </c>
      <c r="Z589" t="s">
        <v>293</v>
      </c>
      <c r="AA589" t="s">
        <v>294</v>
      </c>
      <c r="AB589" t="s">
        <v>1354</v>
      </c>
      <c r="AC589" t="s">
        <v>1355</v>
      </c>
      <c r="AD589" t="s">
        <v>132</v>
      </c>
      <c r="AE589" t="s">
        <v>133</v>
      </c>
      <c r="AF589" t="s">
        <v>100</v>
      </c>
      <c r="AG589" t="s">
        <v>101</v>
      </c>
      <c r="AH589" t="s">
        <v>102</v>
      </c>
      <c r="AI589" t="s">
        <v>103</v>
      </c>
      <c r="AJ589" t="s">
        <v>104</v>
      </c>
      <c r="AK589">
        <v>60</v>
      </c>
      <c r="AL589">
        <v>14.9</v>
      </c>
      <c r="AM589" t="s">
        <v>105</v>
      </c>
      <c r="AN589" t="s">
        <v>106</v>
      </c>
      <c r="AR589" t="s">
        <v>107</v>
      </c>
      <c r="AS589">
        <v>2017</v>
      </c>
      <c r="AT589">
        <f>(38.70646766+29.84924623)/2</f>
        <v>34.277856944999996</v>
      </c>
      <c r="AU589">
        <f>(0.3266129+0.1746988)/2</f>
        <v>0.25065585000000001</v>
      </c>
      <c r="AV589">
        <v>60</v>
      </c>
      <c r="AW589" t="s">
        <v>108</v>
      </c>
      <c r="AY589" t="s">
        <v>134</v>
      </c>
      <c r="AZ589" t="s">
        <v>109</v>
      </c>
      <c r="BA589" t="s">
        <v>180</v>
      </c>
      <c r="BB589">
        <v>12.4</v>
      </c>
      <c r="BC589">
        <v>15</v>
      </c>
      <c r="BD589">
        <v>0.2</v>
      </c>
      <c r="BE589" t="s">
        <v>139</v>
      </c>
      <c r="BF589">
        <f>(11+9)/2</f>
        <v>10</v>
      </c>
      <c r="BG589">
        <f t="shared" si="27"/>
        <v>0.125</v>
      </c>
      <c r="BP589">
        <v>12</v>
      </c>
      <c r="BS589" t="s">
        <v>265</v>
      </c>
      <c r="BU589" t="s">
        <v>1356</v>
      </c>
      <c r="BV589">
        <v>30.802040000000002</v>
      </c>
      <c r="BW589">
        <v>0.4322319</v>
      </c>
      <c r="BX589">
        <v>10</v>
      </c>
      <c r="BY589">
        <v>30.827850000000002</v>
      </c>
      <c r="BZ589">
        <v>0.43342619999999998</v>
      </c>
      <c r="CA589">
        <v>10</v>
      </c>
      <c r="CB589" t="s">
        <v>113</v>
      </c>
      <c r="CC589" t="s">
        <v>319</v>
      </c>
    </row>
    <row r="590" spans="1:81" x14ac:dyDescent="0.25">
      <c r="A590" t="s">
        <v>81</v>
      </c>
      <c r="B590">
        <v>589</v>
      </c>
      <c r="C590">
        <v>121</v>
      </c>
      <c r="D590">
        <v>81</v>
      </c>
      <c r="E590">
        <v>124</v>
      </c>
      <c r="F590">
        <v>125</v>
      </c>
      <c r="G590">
        <v>342</v>
      </c>
      <c r="H590">
        <v>479</v>
      </c>
      <c r="I590" t="s">
        <v>1348</v>
      </c>
      <c r="J590" t="s">
        <v>1349</v>
      </c>
      <c r="L590" t="s">
        <v>1350</v>
      </c>
      <c r="M590" t="s">
        <v>85</v>
      </c>
      <c r="O590" t="s">
        <v>250</v>
      </c>
      <c r="P590" t="s">
        <v>1351</v>
      </c>
      <c r="Q590" t="s">
        <v>1352</v>
      </c>
      <c r="R590">
        <v>2019</v>
      </c>
      <c r="S590" t="s">
        <v>253</v>
      </c>
      <c r="V590" t="s">
        <v>1353</v>
      </c>
      <c r="W590" t="s">
        <v>91</v>
      </c>
      <c r="X590" t="s">
        <v>126</v>
      </c>
      <c r="Y590" t="s">
        <v>292</v>
      </c>
      <c r="Z590" t="s">
        <v>293</v>
      </c>
      <c r="AA590" t="s">
        <v>294</v>
      </c>
      <c r="AB590" t="s">
        <v>1354</v>
      </c>
      <c r="AC590" t="s">
        <v>1355</v>
      </c>
      <c r="AD590" t="s">
        <v>132</v>
      </c>
      <c r="AE590" t="s">
        <v>133</v>
      </c>
      <c r="AF590" t="s">
        <v>100</v>
      </c>
      <c r="AG590" t="s">
        <v>101</v>
      </c>
      <c r="AH590" t="s">
        <v>102</v>
      </c>
      <c r="AI590" t="s">
        <v>103</v>
      </c>
      <c r="AJ590" t="s">
        <v>104</v>
      </c>
      <c r="AK590">
        <v>60</v>
      </c>
      <c r="AL590">
        <v>14.9</v>
      </c>
      <c r="AM590" t="s">
        <v>105</v>
      </c>
      <c r="AN590" t="s">
        <v>106</v>
      </c>
      <c r="AR590" t="s">
        <v>107</v>
      </c>
      <c r="AS590">
        <v>2017</v>
      </c>
      <c r="AT590">
        <f>(29.84924623+37.84313725)/2</f>
        <v>33.846191739999995</v>
      </c>
      <c r="AU590">
        <f>(0.1746988+0.282)/2</f>
        <v>0.22834939999999998</v>
      </c>
      <c r="AV590">
        <v>60</v>
      </c>
      <c r="AW590" t="s">
        <v>108</v>
      </c>
      <c r="AY590" t="s">
        <v>134</v>
      </c>
      <c r="AZ590" t="s">
        <v>109</v>
      </c>
      <c r="BA590" t="s">
        <v>180</v>
      </c>
      <c r="BB590">
        <v>15</v>
      </c>
      <c r="BC590">
        <v>17.8</v>
      </c>
      <c r="BD590">
        <v>0.3</v>
      </c>
      <c r="BE590" t="s">
        <v>139</v>
      </c>
      <c r="BF590">
        <f>(9+7)/2</f>
        <v>8</v>
      </c>
      <c r="BG590">
        <f t="shared" si="27"/>
        <v>0.125</v>
      </c>
      <c r="BP590">
        <v>12</v>
      </c>
      <c r="BS590" t="s">
        <v>265</v>
      </c>
      <c r="BU590" t="s">
        <v>1356</v>
      </c>
      <c r="BV590">
        <v>30.827850000000002</v>
      </c>
      <c r="BW590">
        <v>0.43342619999999998</v>
      </c>
      <c r="BX590">
        <v>10</v>
      </c>
      <c r="BY590">
        <v>30.91009</v>
      </c>
      <c r="BZ590">
        <v>0.86685239999999997</v>
      </c>
      <c r="CA590">
        <v>10</v>
      </c>
      <c r="CB590" t="s">
        <v>113</v>
      </c>
      <c r="CC590" t="s">
        <v>319</v>
      </c>
    </row>
    <row r="591" spans="1:81" x14ac:dyDescent="0.25">
      <c r="A591" t="s">
        <v>81</v>
      </c>
      <c r="B591">
        <v>590</v>
      </c>
      <c r="C591">
        <v>121</v>
      </c>
      <c r="D591">
        <v>81</v>
      </c>
      <c r="E591">
        <v>124</v>
      </c>
      <c r="F591">
        <v>125</v>
      </c>
      <c r="G591">
        <v>343</v>
      </c>
      <c r="H591">
        <v>480</v>
      </c>
      <c r="I591" t="s">
        <v>1348</v>
      </c>
      <c r="J591" t="s">
        <v>1349</v>
      </c>
      <c r="L591" t="s">
        <v>1350</v>
      </c>
      <c r="M591" t="s">
        <v>85</v>
      </c>
      <c r="O591" t="s">
        <v>250</v>
      </c>
      <c r="P591" t="s">
        <v>1351</v>
      </c>
      <c r="Q591" t="s">
        <v>1352</v>
      </c>
      <c r="R591">
        <v>2019</v>
      </c>
      <c r="S591" t="s">
        <v>253</v>
      </c>
      <c r="V591" t="s">
        <v>1353</v>
      </c>
      <c r="W591" t="s">
        <v>91</v>
      </c>
      <c r="X591" t="s">
        <v>126</v>
      </c>
      <c r="Y591" t="s">
        <v>292</v>
      </c>
      <c r="Z591" t="s">
        <v>293</v>
      </c>
      <c r="AA591" t="s">
        <v>294</v>
      </c>
      <c r="AB591" t="s">
        <v>1354</v>
      </c>
      <c r="AC591" t="s">
        <v>1355</v>
      </c>
      <c r="AD591" t="s">
        <v>132</v>
      </c>
      <c r="AE591" t="s">
        <v>133</v>
      </c>
      <c r="AF591" t="s">
        <v>100</v>
      </c>
      <c r="AG591" t="s">
        <v>101</v>
      </c>
      <c r="AH591" t="s">
        <v>102</v>
      </c>
      <c r="AI591" t="s">
        <v>103</v>
      </c>
      <c r="AJ591" t="s">
        <v>104</v>
      </c>
      <c r="AK591">
        <v>70</v>
      </c>
      <c r="AL591">
        <v>14.9</v>
      </c>
      <c r="AM591" t="s">
        <v>105</v>
      </c>
      <c r="AN591" t="s">
        <v>106</v>
      </c>
      <c r="AR591" t="s">
        <v>107</v>
      </c>
      <c r="AS591">
        <v>2017</v>
      </c>
      <c r="AT591">
        <f>(48.45771144+41.30653266)/2</f>
        <v>44.88212205</v>
      </c>
      <c r="AU591">
        <f>(0.53830645+0.42771084)/2</f>
        <v>0.48300864499999996</v>
      </c>
      <c r="AV591">
        <v>70</v>
      </c>
      <c r="AW591" t="s">
        <v>108</v>
      </c>
      <c r="AY591" t="s">
        <v>134</v>
      </c>
      <c r="AZ591" t="s">
        <v>109</v>
      </c>
      <c r="BA591" t="s">
        <v>180</v>
      </c>
      <c r="BB591">
        <v>12.4</v>
      </c>
      <c r="BC591">
        <v>15</v>
      </c>
      <c r="BD591">
        <v>0.2</v>
      </c>
      <c r="BE591" t="s">
        <v>139</v>
      </c>
      <c r="BF591">
        <f>(11+9)/2</f>
        <v>10</v>
      </c>
      <c r="BG591">
        <f t="shared" si="27"/>
        <v>0.125</v>
      </c>
      <c r="BP591">
        <v>12</v>
      </c>
      <c r="BS591" t="s">
        <v>265</v>
      </c>
      <c r="BU591" t="s">
        <v>1356</v>
      </c>
      <c r="BV591">
        <v>31.2941</v>
      </c>
      <c r="BW591">
        <v>0.60512469999999996</v>
      </c>
      <c r="BX591">
        <v>10</v>
      </c>
      <c r="BY591">
        <v>31.074560000000002</v>
      </c>
      <c r="BZ591">
        <v>0.4351565</v>
      </c>
      <c r="CA591">
        <v>7</v>
      </c>
      <c r="CB591" t="s">
        <v>113</v>
      </c>
      <c r="CC591" t="s">
        <v>319</v>
      </c>
    </row>
    <row r="592" spans="1:81" x14ac:dyDescent="0.25">
      <c r="A592" t="s">
        <v>81</v>
      </c>
      <c r="B592">
        <v>591</v>
      </c>
      <c r="C592">
        <v>121</v>
      </c>
      <c r="D592">
        <v>81</v>
      </c>
      <c r="E592">
        <v>124</v>
      </c>
      <c r="F592">
        <v>126</v>
      </c>
      <c r="G592">
        <v>344</v>
      </c>
      <c r="H592">
        <v>481</v>
      </c>
      <c r="I592" t="s">
        <v>1348</v>
      </c>
      <c r="J592" t="s">
        <v>1349</v>
      </c>
      <c r="L592" t="s">
        <v>1350</v>
      </c>
      <c r="M592" t="s">
        <v>85</v>
      </c>
      <c r="O592" t="s">
        <v>250</v>
      </c>
      <c r="P592" t="s">
        <v>1351</v>
      </c>
      <c r="Q592" t="s">
        <v>1352</v>
      </c>
      <c r="R592">
        <v>2019</v>
      </c>
      <c r="S592" t="s">
        <v>253</v>
      </c>
      <c r="V592" t="s">
        <v>1353</v>
      </c>
      <c r="W592" t="s">
        <v>91</v>
      </c>
      <c r="X592" t="s">
        <v>126</v>
      </c>
      <c r="Y592" t="s">
        <v>292</v>
      </c>
      <c r="Z592" t="s">
        <v>293</v>
      </c>
      <c r="AA592" t="s">
        <v>294</v>
      </c>
      <c r="AB592" t="s">
        <v>1354</v>
      </c>
      <c r="AC592" t="s">
        <v>1355</v>
      </c>
      <c r="AD592" t="s">
        <v>132</v>
      </c>
      <c r="AE592" t="s">
        <v>133</v>
      </c>
      <c r="AF592" t="s">
        <v>100</v>
      </c>
      <c r="AG592" t="s">
        <v>101</v>
      </c>
      <c r="AH592" t="s">
        <v>102</v>
      </c>
      <c r="AI592" t="s">
        <v>103</v>
      </c>
      <c r="AJ592" t="s">
        <v>104</v>
      </c>
      <c r="AK592">
        <v>13</v>
      </c>
      <c r="AL592">
        <v>14.9</v>
      </c>
      <c r="AM592" t="s">
        <v>105</v>
      </c>
      <c r="AN592" t="s">
        <v>106</v>
      </c>
      <c r="AR592" t="s">
        <v>107</v>
      </c>
      <c r="AS592">
        <v>2017</v>
      </c>
      <c r="AT592">
        <f>(18.20895522+16.58291457)/2</f>
        <v>17.395934895</v>
      </c>
      <c r="AU592">
        <f>(0.03024194+0.01807229)/2</f>
        <v>2.4157115E-2</v>
      </c>
      <c r="AV592">
        <v>13</v>
      </c>
      <c r="AW592" t="s">
        <v>108</v>
      </c>
      <c r="AY592" t="s">
        <v>134</v>
      </c>
      <c r="AZ592" t="s">
        <v>109</v>
      </c>
      <c r="BA592" t="s">
        <v>180</v>
      </c>
      <c r="BB592">
        <v>12.4</v>
      </c>
      <c r="BC592">
        <v>15</v>
      </c>
      <c r="BD592">
        <v>0.2</v>
      </c>
      <c r="BE592" t="s">
        <v>139</v>
      </c>
      <c r="BF592">
        <f>(11+9)/2</f>
        <v>10</v>
      </c>
      <c r="BG592">
        <f t="shared" si="27"/>
        <v>0.125</v>
      </c>
      <c r="BP592">
        <v>12</v>
      </c>
      <c r="BS592" t="s">
        <v>265</v>
      </c>
      <c r="BU592" t="s">
        <v>1357</v>
      </c>
      <c r="BV592">
        <v>23.639810000000001</v>
      </c>
      <c r="BW592">
        <v>1.1363673000000001</v>
      </c>
      <c r="BX592">
        <v>12</v>
      </c>
      <c r="BY592">
        <v>25.240880000000001</v>
      </c>
      <c r="BZ592">
        <v>1.3308960999999999</v>
      </c>
      <c r="CA592">
        <v>10</v>
      </c>
      <c r="CB592" t="s">
        <v>113</v>
      </c>
      <c r="CC592" t="s">
        <v>319</v>
      </c>
    </row>
    <row r="593" spans="1:81" x14ac:dyDescent="0.25">
      <c r="A593" t="s">
        <v>81</v>
      </c>
      <c r="B593">
        <v>592</v>
      </c>
      <c r="C593">
        <v>121</v>
      </c>
      <c r="D593">
        <v>81</v>
      </c>
      <c r="E593">
        <v>124</v>
      </c>
      <c r="F593">
        <v>126</v>
      </c>
      <c r="G593">
        <v>344</v>
      </c>
      <c r="H593">
        <v>482</v>
      </c>
      <c r="I593" t="s">
        <v>1348</v>
      </c>
      <c r="J593" t="s">
        <v>1349</v>
      </c>
      <c r="L593" t="s">
        <v>1350</v>
      </c>
      <c r="M593" t="s">
        <v>85</v>
      </c>
      <c r="O593" t="s">
        <v>250</v>
      </c>
      <c r="P593" t="s">
        <v>1351</v>
      </c>
      <c r="Q593" t="s">
        <v>1352</v>
      </c>
      <c r="R593">
        <v>2019</v>
      </c>
      <c r="S593" t="s">
        <v>253</v>
      </c>
      <c r="V593" t="s">
        <v>1353</v>
      </c>
      <c r="W593" t="s">
        <v>91</v>
      </c>
      <c r="X593" t="s">
        <v>126</v>
      </c>
      <c r="Y593" t="s">
        <v>292</v>
      </c>
      <c r="Z593" t="s">
        <v>293</v>
      </c>
      <c r="AA593" t="s">
        <v>294</v>
      </c>
      <c r="AB593" t="s">
        <v>1354</v>
      </c>
      <c r="AC593" t="s">
        <v>1355</v>
      </c>
      <c r="AD593" t="s">
        <v>132</v>
      </c>
      <c r="AE593" t="s">
        <v>133</v>
      </c>
      <c r="AF593" t="s">
        <v>100</v>
      </c>
      <c r="AG593" t="s">
        <v>101</v>
      </c>
      <c r="AH593" t="s">
        <v>102</v>
      </c>
      <c r="AI593" t="s">
        <v>103</v>
      </c>
      <c r="AJ593" t="s">
        <v>104</v>
      </c>
      <c r="AK593">
        <v>13</v>
      </c>
      <c r="AL593">
        <v>14.9</v>
      </c>
      <c r="AM593" t="s">
        <v>105</v>
      </c>
      <c r="AN593" t="s">
        <v>106</v>
      </c>
      <c r="AR593" t="s">
        <v>107</v>
      </c>
      <c r="AS593">
        <v>2017</v>
      </c>
      <c r="AT593">
        <f>(16.58291457+16.8627451)/2</f>
        <v>16.722829834999999</v>
      </c>
      <c r="AU593">
        <f>(0.01807229+0.03)/2</f>
        <v>2.4036145000000002E-2</v>
      </c>
      <c r="AV593">
        <v>13</v>
      </c>
      <c r="AW593" t="s">
        <v>108</v>
      </c>
      <c r="AY593" t="s">
        <v>134</v>
      </c>
      <c r="AZ593" t="s">
        <v>109</v>
      </c>
      <c r="BA593" t="s">
        <v>180</v>
      </c>
      <c r="BB593">
        <v>15</v>
      </c>
      <c r="BC593">
        <v>17.8</v>
      </c>
      <c r="BD593">
        <v>0.3</v>
      </c>
      <c r="BE593" t="s">
        <v>139</v>
      </c>
      <c r="BF593">
        <f>(9+7)/2</f>
        <v>8</v>
      </c>
      <c r="BG593">
        <f t="shared" si="27"/>
        <v>0.125</v>
      </c>
      <c r="BP593">
        <v>12</v>
      </c>
      <c r="BS593" t="s">
        <v>265</v>
      </c>
      <c r="BU593" t="s">
        <v>1357</v>
      </c>
      <c r="BV593">
        <v>25.240880000000001</v>
      </c>
      <c r="BW593">
        <v>1.3308960999999999</v>
      </c>
      <c r="BX593">
        <v>10</v>
      </c>
      <c r="BY593">
        <v>23.563600000000001</v>
      </c>
      <c r="BZ593">
        <v>0.7401316</v>
      </c>
      <c r="CA593">
        <v>9</v>
      </c>
      <c r="CB593" t="s">
        <v>113</v>
      </c>
      <c r="CC593" t="s">
        <v>319</v>
      </c>
    </row>
    <row r="594" spans="1:81" x14ac:dyDescent="0.25">
      <c r="A594" t="s">
        <v>81</v>
      </c>
      <c r="B594">
        <v>593</v>
      </c>
      <c r="C594">
        <v>121</v>
      </c>
      <c r="D594">
        <v>81</v>
      </c>
      <c r="E594">
        <v>124</v>
      </c>
      <c r="F594">
        <v>126</v>
      </c>
      <c r="G594">
        <v>345</v>
      </c>
      <c r="H594">
        <v>483</v>
      </c>
      <c r="I594" t="s">
        <v>1348</v>
      </c>
      <c r="J594" t="s">
        <v>1349</v>
      </c>
      <c r="L594" t="s">
        <v>1350</v>
      </c>
      <c r="M594" t="s">
        <v>85</v>
      </c>
      <c r="O594" t="s">
        <v>250</v>
      </c>
      <c r="P594" t="s">
        <v>1351</v>
      </c>
      <c r="Q594" t="s">
        <v>1352</v>
      </c>
      <c r="R594">
        <v>2019</v>
      </c>
      <c r="S594" t="s">
        <v>253</v>
      </c>
      <c r="V594" t="s">
        <v>1353</v>
      </c>
      <c r="W594" t="s">
        <v>91</v>
      </c>
      <c r="X594" t="s">
        <v>126</v>
      </c>
      <c r="Y594" t="s">
        <v>292</v>
      </c>
      <c r="Z594" t="s">
        <v>293</v>
      </c>
      <c r="AA594" t="s">
        <v>294</v>
      </c>
      <c r="AB594" t="s">
        <v>1354</v>
      </c>
      <c r="AC594" t="s">
        <v>1355</v>
      </c>
      <c r="AD594" t="s">
        <v>132</v>
      </c>
      <c r="AE594" t="s">
        <v>133</v>
      </c>
      <c r="AF594" t="s">
        <v>100</v>
      </c>
      <c r="AG594" t="s">
        <v>101</v>
      </c>
      <c r="AH594" t="s">
        <v>102</v>
      </c>
      <c r="AI594" t="s">
        <v>103</v>
      </c>
      <c r="AJ594" t="s">
        <v>104</v>
      </c>
      <c r="AK594">
        <v>16</v>
      </c>
      <c r="AL594">
        <v>14.9</v>
      </c>
      <c r="AM594" t="s">
        <v>105</v>
      </c>
      <c r="AN594" t="s">
        <v>106</v>
      </c>
      <c r="AR594" t="s">
        <v>107</v>
      </c>
      <c r="AS594">
        <v>2017</v>
      </c>
      <c r="AT594">
        <f>(19.2039801+16.98492462)/2</f>
        <v>18.094452359999998</v>
      </c>
      <c r="AU594">
        <f>(0.03024194+0.02409639)/2</f>
        <v>2.7169164999999999E-2</v>
      </c>
      <c r="AV594">
        <v>16</v>
      </c>
      <c r="AW594" t="s">
        <v>108</v>
      </c>
      <c r="AY594" t="s">
        <v>134</v>
      </c>
      <c r="AZ594" t="s">
        <v>109</v>
      </c>
      <c r="BA594" t="s">
        <v>180</v>
      </c>
      <c r="BB594">
        <v>12.4</v>
      </c>
      <c r="BC594">
        <v>15</v>
      </c>
      <c r="BD594">
        <v>0.2</v>
      </c>
      <c r="BE594" t="s">
        <v>139</v>
      </c>
      <c r="BF594">
        <f>(11+9)/2</f>
        <v>10</v>
      </c>
      <c r="BG594">
        <f t="shared" si="27"/>
        <v>0.125</v>
      </c>
      <c r="BP594">
        <v>12</v>
      </c>
      <c r="BS594" t="s">
        <v>265</v>
      </c>
      <c r="BU594" t="s">
        <v>1357</v>
      </c>
      <c r="BV594">
        <v>23.339099999999998</v>
      </c>
      <c r="BW594">
        <v>1.5560350000000001</v>
      </c>
      <c r="BX594">
        <v>10</v>
      </c>
      <c r="BY594">
        <v>24.82001</v>
      </c>
      <c r="BZ594">
        <v>1.9088700999999999</v>
      </c>
      <c r="CA594">
        <v>7</v>
      </c>
      <c r="CB594" t="s">
        <v>113</v>
      </c>
      <c r="CC594" t="s">
        <v>319</v>
      </c>
    </row>
    <row r="595" spans="1:81" x14ac:dyDescent="0.25">
      <c r="A595" t="s">
        <v>81</v>
      </c>
      <c r="B595">
        <v>594</v>
      </c>
      <c r="C595">
        <v>121</v>
      </c>
      <c r="D595">
        <v>81</v>
      </c>
      <c r="E595">
        <v>124</v>
      </c>
      <c r="F595">
        <v>126</v>
      </c>
      <c r="G595">
        <v>345</v>
      </c>
      <c r="H595">
        <v>484</v>
      </c>
      <c r="I595" t="s">
        <v>1348</v>
      </c>
      <c r="J595" t="s">
        <v>1349</v>
      </c>
      <c r="L595" t="s">
        <v>1350</v>
      </c>
      <c r="M595" t="s">
        <v>85</v>
      </c>
      <c r="O595" t="s">
        <v>250</v>
      </c>
      <c r="P595" t="s">
        <v>1351</v>
      </c>
      <c r="Q595" t="s">
        <v>1352</v>
      </c>
      <c r="R595">
        <v>2019</v>
      </c>
      <c r="S595" t="s">
        <v>253</v>
      </c>
      <c r="V595" t="s">
        <v>1353</v>
      </c>
      <c r="W595" t="s">
        <v>91</v>
      </c>
      <c r="X595" t="s">
        <v>126</v>
      </c>
      <c r="Y595" t="s">
        <v>292</v>
      </c>
      <c r="Z595" t="s">
        <v>293</v>
      </c>
      <c r="AA595" t="s">
        <v>294</v>
      </c>
      <c r="AB595" t="s">
        <v>1354</v>
      </c>
      <c r="AC595" t="s">
        <v>1355</v>
      </c>
      <c r="AD595" t="s">
        <v>132</v>
      </c>
      <c r="AE595" t="s">
        <v>133</v>
      </c>
      <c r="AF595" t="s">
        <v>100</v>
      </c>
      <c r="AG595" t="s">
        <v>101</v>
      </c>
      <c r="AH595" t="s">
        <v>102</v>
      </c>
      <c r="AI595" t="s">
        <v>103</v>
      </c>
      <c r="AJ595" t="s">
        <v>104</v>
      </c>
      <c r="AK595">
        <v>16</v>
      </c>
      <c r="AL595">
        <v>14.9</v>
      </c>
      <c r="AM595" t="s">
        <v>105</v>
      </c>
      <c r="AN595" t="s">
        <v>106</v>
      </c>
      <c r="AR595" t="s">
        <v>107</v>
      </c>
      <c r="AS595">
        <v>2017</v>
      </c>
      <c r="AT595">
        <f>(16.98492462+18.62745098)/2</f>
        <v>17.8061878</v>
      </c>
      <c r="AU595">
        <f>(0.02409639+0.03)/2</f>
        <v>2.7048194999999997E-2</v>
      </c>
      <c r="AV595">
        <v>16</v>
      </c>
      <c r="AW595" t="s">
        <v>108</v>
      </c>
      <c r="AY595" t="s">
        <v>134</v>
      </c>
      <c r="AZ595" t="s">
        <v>109</v>
      </c>
      <c r="BA595" t="s">
        <v>180</v>
      </c>
      <c r="BB595">
        <v>15</v>
      </c>
      <c r="BC595">
        <v>17.8</v>
      </c>
      <c r="BD595">
        <v>0.3</v>
      </c>
      <c r="BE595" t="s">
        <v>139</v>
      </c>
      <c r="BF595">
        <f>(9+7)/2</f>
        <v>8</v>
      </c>
      <c r="BG595">
        <f t="shared" si="27"/>
        <v>0.125</v>
      </c>
      <c r="BP595">
        <v>12</v>
      </c>
      <c r="BS595" t="s">
        <v>265</v>
      </c>
      <c r="BU595" t="s">
        <v>1357</v>
      </c>
      <c r="BV595">
        <v>24.82001</v>
      </c>
      <c r="BW595">
        <v>1.9088700999999999</v>
      </c>
      <c r="BX595">
        <v>7</v>
      </c>
      <c r="BY595">
        <v>24.002189999999999</v>
      </c>
      <c r="BZ595">
        <v>0.78016719999999995</v>
      </c>
      <c r="CA595">
        <v>10</v>
      </c>
      <c r="CB595" t="s">
        <v>113</v>
      </c>
      <c r="CC595" t="s">
        <v>319</v>
      </c>
    </row>
    <row r="596" spans="1:81" x14ac:dyDescent="0.25">
      <c r="A596" t="s">
        <v>81</v>
      </c>
      <c r="B596">
        <v>595</v>
      </c>
      <c r="C596">
        <v>121</v>
      </c>
      <c r="D596">
        <v>81</v>
      </c>
      <c r="E596">
        <v>124</v>
      </c>
      <c r="F596">
        <v>126</v>
      </c>
      <c r="G596">
        <v>346</v>
      </c>
      <c r="H596">
        <v>485</v>
      </c>
      <c r="I596" t="s">
        <v>1358</v>
      </c>
      <c r="J596" t="s">
        <v>1349</v>
      </c>
      <c r="L596" t="s">
        <v>1350</v>
      </c>
      <c r="M596" t="s">
        <v>85</v>
      </c>
      <c r="O596" t="s">
        <v>250</v>
      </c>
      <c r="P596" t="s">
        <v>1351</v>
      </c>
      <c r="Q596" t="s">
        <v>1352</v>
      </c>
      <c r="R596">
        <v>2019</v>
      </c>
      <c r="S596" t="s">
        <v>253</v>
      </c>
      <c r="V596" t="s">
        <v>1353</v>
      </c>
      <c r="W596" t="s">
        <v>91</v>
      </c>
      <c r="X596" t="s">
        <v>126</v>
      </c>
      <c r="Y596" t="s">
        <v>292</v>
      </c>
      <c r="Z596" t="s">
        <v>293</v>
      </c>
      <c r="AA596" t="s">
        <v>294</v>
      </c>
      <c r="AB596" t="s">
        <v>1354</v>
      </c>
      <c r="AC596" t="s">
        <v>1355</v>
      </c>
      <c r="AD596" t="s">
        <v>132</v>
      </c>
      <c r="AE596" t="s">
        <v>133</v>
      </c>
      <c r="AF596" t="s">
        <v>100</v>
      </c>
      <c r="AG596" t="s">
        <v>101</v>
      </c>
      <c r="AH596" t="s">
        <v>102</v>
      </c>
      <c r="AI596" t="s">
        <v>103</v>
      </c>
      <c r="AJ596" t="s">
        <v>104</v>
      </c>
      <c r="AK596">
        <v>22</v>
      </c>
      <c r="AL596">
        <v>14.9</v>
      </c>
      <c r="AM596" t="s">
        <v>105</v>
      </c>
      <c r="AN596" t="s">
        <v>106</v>
      </c>
      <c r="AR596" t="s">
        <v>107</v>
      </c>
      <c r="AS596">
        <v>2017</v>
      </c>
      <c r="AT596">
        <f>(19.80099502+19.60784314)/2</f>
        <v>19.704419080000001</v>
      </c>
      <c r="AU596">
        <f>(0.03024194+0.042)/2</f>
        <v>3.6120970000000002E-2</v>
      </c>
      <c r="AV596">
        <v>22</v>
      </c>
      <c r="AW596" t="s">
        <v>108</v>
      </c>
      <c r="AY596" t="s">
        <v>103</v>
      </c>
      <c r="AZ596" t="s">
        <v>109</v>
      </c>
      <c r="BA596" t="s">
        <v>180</v>
      </c>
      <c r="BB596">
        <v>12.4</v>
      </c>
      <c r="BC596">
        <v>17.8</v>
      </c>
      <c r="BD596">
        <v>0.3</v>
      </c>
      <c r="BE596" t="s">
        <v>139</v>
      </c>
      <c r="BF596">
        <f t="shared" ref="BF596:BF602" si="28">(11+7)/2</f>
        <v>9</v>
      </c>
      <c r="BG596">
        <f t="shared" si="27"/>
        <v>0.125</v>
      </c>
      <c r="BP596">
        <v>12</v>
      </c>
      <c r="BU596" t="s">
        <v>1359</v>
      </c>
      <c r="BV596">
        <v>28.83379</v>
      </c>
      <c r="BW596">
        <v>1.9882668999999999</v>
      </c>
      <c r="BX596">
        <v>10</v>
      </c>
      <c r="BY596">
        <v>26.853069999999999</v>
      </c>
      <c r="BZ596">
        <v>1.8203901</v>
      </c>
      <c r="CA596">
        <v>10</v>
      </c>
      <c r="CB596" t="s">
        <v>113</v>
      </c>
      <c r="CC596" t="s">
        <v>319</v>
      </c>
    </row>
    <row r="597" spans="1:81" x14ac:dyDescent="0.25">
      <c r="A597" t="s">
        <v>81</v>
      </c>
      <c r="B597">
        <v>596</v>
      </c>
      <c r="C597">
        <v>121</v>
      </c>
      <c r="D597">
        <v>81</v>
      </c>
      <c r="E597">
        <v>124</v>
      </c>
      <c r="F597">
        <v>126</v>
      </c>
      <c r="G597">
        <v>347</v>
      </c>
      <c r="H597">
        <v>486</v>
      </c>
      <c r="I597" t="s">
        <v>1358</v>
      </c>
      <c r="J597" t="s">
        <v>1349</v>
      </c>
      <c r="L597" t="s">
        <v>1350</v>
      </c>
      <c r="M597" t="s">
        <v>85</v>
      </c>
      <c r="O597" t="s">
        <v>250</v>
      </c>
      <c r="P597" t="s">
        <v>1351</v>
      </c>
      <c r="Q597" t="s">
        <v>1352</v>
      </c>
      <c r="R597">
        <v>2019</v>
      </c>
      <c r="S597" t="s">
        <v>253</v>
      </c>
      <c r="V597" t="s">
        <v>1353</v>
      </c>
      <c r="W597" t="s">
        <v>91</v>
      </c>
      <c r="X597" t="s">
        <v>126</v>
      </c>
      <c r="Y597" t="s">
        <v>292</v>
      </c>
      <c r="Z597" t="s">
        <v>293</v>
      </c>
      <c r="AA597" t="s">
        <v>294</v>
      </c>
      <c r="AB597" t="s">
        <v>1354</v>
      </c>
      <c r="AC597" t="s">
        <v>1355</v>
      </c>
      <c r="AD597" t="s">
        <v>132</v>
      </c>
      <c r="AE597" t="s">
        <v>133</v>
      </c>
      <c r="AF597" t="s">
        <v>100</v>
      </c>
      <c r="AG597" t="s">
        <v>101</v>
      </c>
      <c r="AH597" t="s">
        <v>102</v>
      </c>
      <c r="AI597" t="s">
        <v>103</v>
      </c>
      <c r="AJ597" t="s">
        <v>104</v>
      </c>
      <c r="AK597">
        <v>30</v>
      </c>
      <c r="AL597">
        <v>14.9</v>
      </c>
      <c r="AM597" t="s">
        <v>105</v>
      </c>
      <c r="AN597" t="s">
        <v>106</v>
      </c>
      <c r="AR597" t="s">
        <v>107</v>
      </c>
      <c r="AS597">
        <v>2017</v>
      </c>
      <c r="AT597">
        <f>(21.19402985+21.56862745)/2</f>
        <v>21.38132865</v>
      </c>
      <c r="AU597">
        <f>(0.03024194+0.048)/2</f>
        <v>3.9120969999999998E-2</v>
      </c>
      <c r="AV597">
        <v>30</v>
      </c>
      <c r="AW597" t="s">
        <v>108</v>
      </c>
      <c r="AY597" t="s">
        <v>103</v>
      </c>
      <c r="AZ597" t="s">
        <v>109</v>
      </c>
      <c r="BA597" t="s">
        <v>180</v>
      </c>
      <c r="BB597">
        <v>12.4</v>
      </c>
      <c r="BC597">
        <v>17.8</v>
      </c>
      <c r="BD597">
        <v>0.3</v>
      </c>
      <c r="BE597" t="s">
        <v>139</v>
      </c>
      <c r="BF597">
        <f t="shared" si="28"/>
        <v>9</v>
      </c>
      <c r="BG597">
        <f t="shared" si="27"/>
        <v>0.125</v>
      </c>
      <c r="BP597">
        <v>12</v>
      </c>
      <c r="BU597" t="s">
        <v>1359</v>
      </c>
      <c r="BV597">
        <v>30.11862</v>
      </c>
      <c r="BW597">
        <v>0.4322319</v>
      </c>
      <c r="BX597">
        <v>10</v>
      </c>
      <c r="BY597">
        <v>29.539470000000001</v>
      </c>
      <c r="BZ597">
        <v>0.98684210000000006</v>
      </c>
      <c r="CA597">
        <v>9</v>
      </c>
      <c r="CB597" t="s">
        <v>113</v>
      </c>
      <c r="CC597" t="s">
        <v>319</v>
      </c>
    </row>
    <row r="598" spans="1:81" x14ac:dyDescent="0.25">
      <c r="A598" t="s">
        <v>81</v>
      </c>
      <c r="B598">
        <v>597</v>
      </c>
      <c r="C598">
        <v>121</v>
      </c>
      <c r="D598">
        <v>81</v>
      </c>
      <c r="E598">
        <v>124</v>
      </c>
      <c r="F598">
        <v>126</v>
      </c>
      <c r="G598">
        <v>348</v>
      </c>
      <c r="H598">
        <v>487</v>
      </c>
      <c r="I598" t="s">
        <v>1358</v>
      </c>
      <c r="J598" t="s">
        <v>1349</v>
      </c>
      <c r="L598" t="s">
        <v>1350</v>
      </c>
      <c r="M598" t="s">
        <v>85</v>
      </c>
      <c r="O598" t="s">
        <v>250</v>
      </c>
      <c r="P598" t="s">
        <v>1351</v>
      </c>
      <c r="Q598" t="s">
        <v>1352</v>
      </c>
      <c r="R598">
        <v>2019</v>
      </c>
      <c r="S598" t="s">
        <v>253</v>
      </c>
      <c r="V598" t="s">
        <v>1353</v>
      </c>
      <c r="W598" t="s">
        <v>91</v>
      </c>
      <c r="X598" t="s">
        <v>126</v>
      </c>
      <c r="Y598" t="s">
        <v>292</v>
      </c>
      <c r="Z598" t="s">
        <v>293</v>
      </c>
      <c r="AA598" t="s">
        <v>294</v>
      </c>
      <c r="AB598" t="s">
        <v>1354</v>
      </c>
      <c r="AC598" t="s">
        <v>1355</v>
      </c>
      <c r="AD598" t="s">
        <v>132</v>
      </c>
      <c r="AE598" t="s">
        <v>133</v>
      </c>
      <c r="AF598" t="s">
        <v>100</v>
      </c>
      <c r="AG598" t="s">
        <v>101</v>
      </c>
      <c r="AH598" t="s">
        <v>102</v>
      </c>
      <c r="AI598" t="s">
        <v>103</v>
      </c>
      <c r="AJ598" t="s">
        <v>104</v>
      </c>
      <c r="AK598">
        <v>40</v>
      </c>
      <c r="AL598">
        <v>14.9</v>
      </c>
      <c r="AM598" t="s">
        <v>105</v>
      </c>
      <c r="AN598" t="s">
        <v>106</v>
      </c>
      <c r="AR598" t="s">
        <v>107</v>
      </c>
      <c r="AS598">
        <v>2017</v>
      </c>
      <c r="AT598">
        <f>(24.37810945+23.52941176)/2</f>
        <v>23.953760604999999</v>
      </c>
      <c r="AU598">
        <f>(0.06048387+0.066)/2</f>
        <v>6.3241934999999999E-2</v>
      </c>
      <c r="AV598">
        <v>40</v>
      </c>
      <c r="AW598" t="s">
        <v>108</v>
      </c>
      <c r="AY598" t="s">
        <v>103</v>
      </c>
      <c r="AZ598" t="s">
        <v>109</v>
      </c>
      <c r="BA598" t="s">
        <v>180</v>
      </c>
      <c r="BB598">
        <v>12.4</v>
      </c>
      <c r="BC598">
        <v>17.8</v>
      </c>
      <c r="BD598">
        <v>0.3</v>
      </c>
      <c r="BE598" t="s">
        <v>139</v>
      </c>
      <c r="BF598">
        <f t="shared" si="28"/>
        <v>9</v>
      </c>
      <c r="BG598">
        <f t="shared" si="27"/>
        <v>0.125</v>
      </c>
      <c r="BP598">
        <v>12</v>
      </c>
      <c r="BU598" t="s">
        <v>1359</v>
      </c>
      <c r="BV598">
        <v>30.227959999999999</v>
      </c>
      <c r="BW598">
        <v>0.60512469999999996</v>
      </c>
      <c r="BX598">
        <v>10</v>
      </c>
      <c r="BY598">
        <v>30.224779999999999</v>
      </c>
      <c r="BZ598">
        <v>0.43342619999999998</v>
      </c>
      <c r="CA598">
        <v>10</v>
      </c>
      <c r="CB598" t="s">
        <v>113</v>
      </c>
      <c r="CC598" t="s">
        <v>319</v>
      </c>
    </row>
    <row r="599" spans="1:81" x14ac:dyDescent="0.25">
      <c r="A599" t="s">
        <v>81</v>
      </c>
      <c r="B599">
        <v>598</v>
      </c>
      <c r="C599">
        <v>121</v>
      </c>
      <c r="D599">
        <v>81</v>
      </c>
      <c r="E599">
        <v>124</v>
      </c>
      <c r="F599">
        <v>126</v>
      </c>
      <c r="G599">
        <v>349</v>
      </c>
      <c r="H599">
        <v>488</v>
      </c>
      <c r="I599" t="s">
        <v>1358</v>
      </c>
      <c r="J599" t="s">
        <v>1349</v>
      </c>
      <c r="L599" t="s">
        <v>1350</v>
      </c>
      <c r="M599" t="s">
        <v>85</v>
      </c>
      <c r="O599" t="s">
        <v>250</v>
      </c>
      <c r="P599" t="s">
        <v>1351</v>
      </c>
      <c r="Q599" t="s">
        <v>1352</v>
      </c>
      <c r="R599">
        <v>2019</v>
      </c>
      <c r="S599" t="s">
        <v>253</v>
      </c>
      <c r="V599" t="s">
        <v>1353</v>
      </c>
      <c r="W599" t="s">
        <v>91</v>
      </c>
      <c r="X599" t="s">
        <v>126</v>
      </c>
      <c r="Y599" t="s">
        <v>292</v>
      </c>
      <c r="Z599" t="s">
        <v>293</v>
      </c>
      <c r="AA599" t="s">
        <v>294</v>
      </c>
      <c r="AB599" t="s">
        <v>1354</v>
      </c>
      <c r="AC599" t="s">
        <v>1355</v>
      </c>
      <c r="AD599" t="s">
        <v>132</v>
      </c>
      <c r="AE599" t="s">
        <v>133</v>
      </c>
      <c r="AF599" t="s">
        <v>100</v>
      </c>
      <c r="AG599" t="s">
        <v>101</v>
      </c>
      <c r="AH599" t="s">
        <v>102</v>
      </c>
      <c r="AI599" t="s">
        <v>103</v>
      </c>
      <c r="AJ599" t="s">
        <v>104</v>
      </c>
      <c r="AK599">
        <v>50</v>
      </c>
      <c r="AL599">
        <v>14.9</v>
      </c>
      <c r="AM599" t="s">
        <v>105</v>
      </c>
      <c r="AN599" t="s">
        <v>106</v>
      </c>
      <c r="AR599" t="s">
        <v>107</v>
      </c>
      <c r="AS599">
        <v>2017</v>
      </c>
      <c r="AT599">
        <f>(27.960199+26.47058824)/2</f>
        <v>27.21539362</v>
      </c>
      <c r="AU599">
        <f>(0.09072581+0.09)/2</f>
        <v>9.0362904999999993E-2</v>
      </c>
      <c r="AV599">
        <v>50</v>
      </c>
      <c r="AW599" t="s">
        <v>108</v>
      </c>
      <c r="AY599" t="s">
        <v>103</v>
      </c>
      <c r="AZ599" t="s">
        <v>109</v>
      </c>
      <c r="BA599" t="s">
        <v>180</v>
      </c>
      <c r="BB599">
        <v>12.4</v>
      </c>
      <c r="BC599">
        <v>17.8</v>
      </c>
      <c r="BD599">
        <v>0.3</v>
      </c>
      <c r="BE599" t="s">
        <v>139</v>
      </c>
      <c r="BF599">
        <f t="shared" si="28"/>
        <v>9</v>
      </c>
      <c r="BG599">
        <f t="shared" si="27"/>
        <v>0.125</v>
      </c>
      <c r="BP599">
        <v>12</v>
      </c>
      <c r="BU599" t="s">
        <v>1359</v>
      </c>
      <c r="BV599">
        <v>30.419319999999999</v>
      </c>
      <c r="BW599">
        <v>0.4322319</v>
      </c>
      <c r="BX599">
        <v>10</v>
      </c>
      <c r="BY599">
        <v>29.676539999999999</v>
      </c>
      <c r="BZ599">
        <v>0.78016719999999995</v>
      </c>
      <c r="CA599">
        <v>10</v>
      </c>
      <c r="CB599" t="s">
        <v>113</v>
      </c>
      <c r="CC599" t="s">
        <v>319</v>
      </c>
    </row>
    <row r="600" spans="1:81" x14ac:dyDescent="0.25">
      <c r="A600" t="s">
        <v>81</v>
      </c>
      <c r="B600">
        <v>599</v>
      </c>
      <c r="C600">
        <v>121</v>
      </c>
      <c r="D600">
        <v>81</v>
      </c>
      <c r="E600">
        <v>124</v>
      </c>
      <c r="F600">
        <v>126</v>
      </c>
      <c r="G600">
        <v>350</v>
      </c>
      <c r="H600">
        <v>489</v>
      </c>
      <c r="I600" t="s">
        <v>1358</v>
      </c>
      <c r="J600" t="s">
        <v>1349</v>
      </c>
      <c r="L600" t="s">
        <v>1350</v>
      </c>
      <c r="M600" t="s">
        <v>85</v>
      </c>
      <c r="O600" t="s">
        <v>250</v>
      </c>
      <c r="P600" t="s">
        <v>1351</v>
      </c>
      <c r="Q600" t="s">
        <v>1352</v>
      </c>
      <c r="R600">
        <v>2019</v>
      </c>
      <c r="S600" t="s">
        <v>253</v>
      </c>
      <c r="V600" t="s">
        <v>1353</v>
      </c>
      <c r="W600" t="s">
        <v>91</v>
      </c>
      <c r="X600" t="s">
        <v>126</v>
      </c>
      <c r="Y600" t="s">
        <v>292</v>
      </c>
      <c r="Z600" t="s">
        <v>293</v>
      </c>
      <c r="AA600" t="s">
        <v>294</v>
      </c>
      <c r="AB600" t="s">
        <v>1354</v>
      </c>
      <c r="AC600" t="s">
        <v>1355</v>
      </c>
      <c r="AD600" t="s">
        <v>132</v>
      </c>
      <c r="AE600" t="s">
        <v>133</v>
      </c>
      <c r="AF600" t="s">
        <v>100</v>
      </c>
      <c r="AG600" t="s">
        <v>101</v>
      </c>
      <c r="AH600" t="s">
        <v>102</v>
      </c>
      <c r="AI600" t="s">
        <v>103</v>
      </c>
      <c r="AJ600" t="s">
        <v>104</v>
      </c>
      <c r="AK600">
        <v>60</v>
      </c>
      <c r="AL600">
        <v>14.9</v>
      </c>
      <c r="AM600" t="s">
        <v>105</v>
      </c>
      <c r="AN600" t="s">
        <v>106</v>
      </c>
      <c r="AR600" t="s">
        <v>107</v>
      </c>
      <c r="AS600">
        <v>2017</v>
      </c>
      <c r="AT600">
        <f>(35.12437811+34.70588235)/2</f>
        <v>34.915130230000003</v>
      </c>
      <c r="AU600">
        <f>(0.22379032+0.204)/2</f>
        <v>0.21389515999999997</v>
      </c>
      <c r="AV600">
        <v>60</v>
      </c>
      <c r="AW600" t="s">
        <v>108</v>
      </c>
      <c r="AY600" t="s">
        <v>103</v>
      </c>
      <c r="AZ600" t="s">
        <v>109</v>
      </c>
      <c r="BA600" t="s">
        <v>180</v>
      </c>
      <c r="BB600">
        <v>12.4</v>
      </c>
      <c r="BC600">
        <v>17.8</v>
      </c>
      <c r="BD600">
        <v>0.3</v>
      </c>
      <c r="BE600" t="s">
        <v>139</v>
      </c>
      <c r="BF600">
        <f t="shared" si="28"/>
        <v>9</v>
      </c>
      <c r="BG600">
        <f t="shared" si="27"/>
        <v>0.125</v>
      </c>
      <c r="BP600">
        <v>12</v>
      </c>
      <c r="BU600" t="s">
        <v>1359</v>
      </c>
      <c r="BV600">
        <v>30.20063</v>
      </c>
      <c r="BW600">
        <v>0.69157109999999999</v>
      </c>
      <c r="BX600">
        <v>10</v>
      </c>
      <c r="BY600">
        <v>30.087720000000001</v>
      </c>
      <c r="BZ600">
        <v>0.86685239999999997</v>
      </c>
      <c r="CA600">
        <v>10</v>
      </c>
      <c r="CB600" t="s">
        <v>113</v>
      </c>
      <c r="CC600" t="s">
        <v>319</v>
      </c>
    </row>
    <row r="601" spans="1:81" x14ac:dyDescent="0.25">
      <c r="A601" t="s">
        <v>81</v>
      </c>
      <c r="B601">
        <v>600</v>
      </c>
      <c r="C601">
        <v>121</v>
      </c>
      <c r="D601">
        <v>81</v>
      </c>
      <c r="E601">
        <v>124</v>
      </c>
      <c r="F601">
        <v>126</v>
      </c>
      <c r="G601">
        <v>351</v>
      </c>
      <c r="H601">
        <v>490</v>
      </c>
      <c r="I601" t="s">
        <v>1358</v>
      </c>
      <c r="J601" t="s">
        <v>1349</v>
      </c>
      <c r="L601" t="s">
        <v>1350</v>
      </c>
      <c r="M601" t="s">
        <v>85</v>
      </c>
      <c r="O601" t="s">
        <v>250</v>
      </c>
      <c r="P601" t="s">
        <v>1351</v>
      </c>
      <c r="Q601" t="s">
        <v>1352</v>
      </c>
      <c r="R601">
        <v>2019</v>
      </c>
      <c r="S601" t="s">
        <v>253</v>
      </c>
      <c r="V601" t="s">
        <v>1353</v>
      </c>
      <c r="W601" t="s">
        <v>91</v>
      </c>
      <c r="X601" t="s">
        <v>126</v>
      </c>
      <c r="Y601" t="s">
        <v>292</v>
      </c>
      <c r="Z601" t="s">
        <v>293</v>
      </c>
      <c r="AA601" t="s">
        <v>294</v>
      </c>
      <c r="AB601" t="s">
        <v>1354</v>
      </c>
      <c r="AC601" t="s">
        <v>1355</v>
      </c>
      <c r="AD601" t="s">
        <v>132</v>
      </c>
      <c r="AE601" t="s">
        <v>133</v>
      </c>
      <c r="AF601" t="s">
        <v>100</v>
      </c>
      <c r="AG601" t="s">
        <v>101</v>
      </c>
      <c r="AH601" t="s">
        <v>102</v>
      </c>
      <c r="AI601" t="s">
        <v>103</v>
      </c>
      <c r="AJ601" t="s">
        <v>104</v>
      </c>
      <c r="AK601">
        <v>70</v>
      </c>
      <c r="AL601">
        <v>14.9</v>
      </c>
      <c r="AM601" t="s">
        <v>105</v>
      </c>
      <c r="AN601" t="s">
        <v>106</v>
      </c>
      <c r="AR601" t="s">
        <v>107</v>
      </c>
      <c r="AS601">
        <v>2017</v>
      </c>
      <c r="AT601">
        <f>(44.47761194+40.58823529)/2</f>
        <v>42.532923615000001</v>
      </c>
      <c r="AU601">
        <f>(0.42943548+0.318)/2</f>
        <v>0.37371774000000002</v>
      </c>
      <c r="AV601">
        <v>70</v>
      </c>
      <c r="AW601" t="s">
        <v>108</v>
      </c>
      <c r="AY601" t="s">
        <v>103</v>
      </c>
      <c r="AZ601" t="s">
        <v>109</v>
      </c>
      <c r="BA601" t="s">
        <v>180</v>
      </c>
      <c r="BB601">
        <v>12.4</v>
      </c>
      <c r="BC601">
        <v>17.8</v>
      </c>
      <c r="BD601">
        <v>0.3</v>
      </c>
      <c r="BE601" t="s">
        <v>139</v>
      </c>
      <c r="BF601">
        <f t="shared" si="28"/>
        <v>9</v>
      </c>
      <c r="BG601">
        <f t="shared" si="27"/>
        <v>0.125</v>
      </c>
      <c r="BP601">
        <v>12</v>
      </c>
      <c r="BU601" t="s">
        <v>1359</v>
      </c>
      <c r="BV601">
        <v>30.85671</v>
      </c>
      <c r="BW601">
        <v>0.4322319</v>
      </c>
      <c r="BX601">
        <v>10</v>
      </c>
      <c r="BY601">
        <v>30.44408</v>
      </c>
      <c r="BZ601">
        <v>0.52011149999999995</v>
      </c>
      <c r="CA601">
        <v>10</v>
      </c>
      <c r="CB601" t="s">
        <v>113</v>
      </c>
      <c r="CC601" t="s">
        <v>319</v>
      </c>
    </row>
    <row r="602" spans="1:81" x14ac:dyDescent="0.25">
      <c r="A602" t="s">
        <v>81</v>
      </c>
      <c r="B602">
        <v>601</v>
      </c>
      <c r="C602">
        <v>121</v>
      </c>
      <c r="D602">
        <v>81</v>
      </c>
      <c r="E602">
        <v>124</v>
      </c>
      <c r="F602">
        <v>126</v>
      </c>
      <c r="G602">
        <v>352</v>
      </c>
      <c r="H602">
        <v>491</v>
      </c>
      <c r="I602" t="s">
        <v>1358</v>
      </c>
      <c r="J602" t="s">
        <v>1349</v>
      </c>
      <c r="L602" t="s">
        <v>1350</v>
      </c>
      <c r="M602" t="s">
        <v>85</v>
      </c>
      <c r="O602" t="s">
        <v>250</v>
      </c>
      <c r="P602" t="s">
        <v>1351</v>
      </c>
      <c r="Q602" t="s">
        <v>1352</v>
      </c>
      <c r="R602">
        <v>2019</v>
      </c>
      <c r="S602" t="s">
        <v>253</v>
      </c>
      <c r="V602" t="s">
        <v>1353</v>
      </c>
      <c r="W602" t="s">
        <v>91</v>
      </c>
      <c r="X602" t="s">
        <v>126</v>
      </c>
      <c r="Y602" t="s">
        <v>292</v>
      </c>
      <c r="Z602" t="s">
        <v>293</v>
      </c>
      <c r="AA602" t="s">
        <v>294</v>
      </c>
      <c r="AB602" t="s">
        <v>1354</v>
      </c>
      <c r="AC602" t="s">
        <v>1355</v>
      </c>
      <c r="AD602" t="s">
        <v>132</v>
      </c>
      <c r="AE602" t="s">
        <v>133</v>
      </c>
      <c r="AF602" t="s">
        <v>100</v>
      </c>
      <c r="AG602" t="s">
        <v>101</v>
      </c>
      <c r="AH602" t="s">
        <v>102</v>
      </c>
      <c r="AI602" t="s">
        <v>103</v>
      </c>
      <c r="AJ602" t="s">
        <v>104</v>
      </c>
      <c r="AK602">
        <v>80</v>
      </c>
      <c r="AL602">
        <v>14.9</v>
      </c>
      <c r="AM602" t="s">
        <v>105</v>
      </c>
      <c r="AN602" t="s">
        <v>106</v>
      </c>
      <c r="AR602" t="s">
        <v>107</v>
      </c>
      <c r="AS602">
        <v>2017</v>
      </c>
      <c r="AT602">
        <f>(58.20895522+49.60784314)/2</f>
        <v>53.908399180000004</v>
      </c>
      <c r="AU602">
        <f>(0.85887097+0.558)/2</f>
        <v>0.70843548500000009</v>
      </c>
      <c r="AV602">
        <v>80</v>
      </c>
      <c r="AW602" t="s">
        <v>108</v>
      </c>
      <c r="AY602" t="s">
        <v>103</v>
      </c>
      <c r="AZ602" t="s">
        <v>109</v>
      </c>
      <c r="BA602" t="s">
        <v>180</v>
      </c>
      <c r="BB602">
        <v>12.4</v>
      </c>
      <c r="BC602">
        <v>17.8</v>
      </c>
      <c r="BD602">
        <v>0.3</v>
      </c>
      <c r="BE602" t="s">
        <v>139</v>
      </c>
      <c r="BF602">
        <f t="shared" si="28"/>
        <v>9</v>
      </c>
      <c r="BG602">
        <f t="shared" si="27"/>
        <v>0.125</v>
      </c>
      <c r="BP602">
        <v>12</v>
      </c>
      <c r="BU602" t="s">
        <v>1359</v>
      </c>
      <c r="BV602">
        <v>30.337309999999999</v>
      </c>
      <c r="BW602">
        <v>0.60512469999999996</v>
      </c>
      <c r="BX602">
        <v>10</v>
      </c>
      <c r="BY602">
        <v>30.553730000000002</v>
      </c>
      <c r="BZ602">
        <v>0.43342619999999998</v>
      </c>
      <c r="CA602">
        <v>10</v>
      </c>
      <c r="CB602" t="s">
        <v>113</v>
      </c>
      <c r="CC602" t="s">
        <v>319</v>
      </c>
    </row>
    <row r="603" spans="1:81" x14ac:dyDescent="0.25">
      <c r="A603" t="s">
        <v>81</v>
      </c>
      <c r="B603">
        <v>602</v>
      </c>
      <c r="C603">
        <v>121</v>
      </c>
      <c r="D603">
        <v>81</v>
      </c>
      <c r="E603">
        <v>124</v>
      </c>
      <c r="F603">
        <v>127</v>
      </c>
      <c r="G603">
        <v>353</v>
      </c>
      <c r="H603">
        <v>492</v>
      </c>
      <c r="I603" t="s">
        <v>1358</v>
      </c>
      <c r="J603" t="s">
        <v>1349</v>
      </c>
      <c r="L603" t="s">
        <v>1350</v>
      </c>
      <c r="M603" t="s">
        <v>85</v>
      </c>
      <c r="O603" t="s">
        <v>250</v>
      </c>
      <c r="P603" t="s">
        <v>1351</v>
      </c>
      <c r="Q603" t="s">
        <v>1352</v>
      </c>
      <c r="R603">
        <v>2019</v>
      </c>
      <c r="S603" t="s">
        <v>253</v>
      </c>
      <c r="V603" t="s">
        <v>1353</v>
      </c>
      <c r="W603" t="s">
        <v>91</v>
      </c>
      <c r="X603" t="s">
        <v>126</v>
      </c>
      <c r="Y603" t="s">
        <v>292</v>
      </c>
      <c r="Z603" t="s">
        <v>293</v>
      </c>
      <c r="AA603" t="s">
        <v>294</v>
      </c>
      <c r="AB603" t="s">
        <v>1354</v>
      </c>
      <c r="AC603" t="s">
        <v>1355</v>
      </c>
      <c r="AD603" t="s">
        <v>132</v>
      </c>
      <c r="AE603" t="s">
        <v>133</v>
      </c>
      <c r="AF603" t="s">
        <v>100</v>
      </c>
      <c r="AG603" t="s">
        <v>101</v>
      </c>
      <c r="AH603" t="s">
        <v>102</v>
      </c>
      <c r="AI603" t="s">
        <v>103</v>
      </c>
      <c r="AJ603" t="s">
        <v>104</v>
      </c>
      <c r="AK603">
        <v>13</v>
      </c>
      <c r="AL603">
        <v>14.9</v>
      </c>
      <c r="AM603" t="s">
        <v>105</v>
      </c>
      <c r="AN603" t="s">
        <v>106</v>
      </c>
      <c r="AR603" t="s">
        <v>107</v>
      </c>
      <c r="AS603">
        <v>2017</v>
      </c>
      <c r="AT603">
        <f>(17.5879397+15.68627451)/2</f>
        <v>16.637107104999998</v>
      </c>
      <c r="AU603">
        <f>(0.03012048+0.03)/2</f>
        <v>3.0060240000000002E-2</v>
      </c>
      <c r="AV603">
        <v>13</v>
      </c>
      <c r="AW603" t="s">
        <v>108</v>
      </c>
      <c r="AY603" t="s">
        <v>134</v>
      </c>
      <c r="AZ603" t="s">
        <v>109</v>
      </c>
      <c r="BA603" t="s">
        <v>180</v>
      </c>
      <c r="BB603">
        <v>15</v>
      </c>
      <c r="BC603">
        <v>17.8</v>
      </c>
      <c r="BD603">
        <v>0.3</v>
      </c>
      <c r="BE603" t="s">
        <v>139</v>
      </c>
      <c r="BF603">
        <f>(9+7)/2</f>
        <v>8</v>
      </c>
      <c r="BG603">
        <f t="shared" si="27"/>
        <v>0.125</v>
      </c>
      <c r="BP603">
        <v>12</v>
      </c>
      <c r="BS603" t="s">
        <v>265</v>
      </c>
      <c r="BU603" t="s">
        <v>1360</v>
      </c>
      <c r="BV603">
        <v>25.674340000000001</v>
      </c>
      <c r="BW603">
        <v>1.3002786</v>
      </c>
      <c r="BX603">
        <v>10</v>
      </c>
      <c r="BY603">
        <v>23.536180000000002</v>
      </c>
      <c r="BZ603">
        <v>0.78016719999999995</v>
      </c>
      <c r="CA603">
        <v>10</v>
      </c>
      <c r="CB603" t="s">
        <v>113</v>
      </c>
      <c r="CC603" t="s">
        <v>319</v>
      </c>
    </row>
    <row r="604" spans="1:81" x14ac:dyDescent="0.25">
      <c r="A604" t="s">
        <v>81</v>
      </c>
      <c r="B604">
        <v>603</v>
      </c>
      <c r="C604">
        <v>121</v>
      </c>
      <c r="D604">
        <v>81</v>
      </c>
      <c r="E604">
        <v>124</v>
      </c>
      <c r="F604">
        <v>127</v>
      </c>
      <c r="G604">
        <v>354</v>
      </c>
      <c r="H604">
        <v>493</v>
      </c>
      <c r="I604" t="s">
        <v>1348</v>
      </c>
      <c r="J604" t="s">
        <v>1349</v>
      </c>
      <c r="L604" t="s">
        <v>1350</v>
      </c>
      <c r="M604" t="s">
        <v>85</v>
      </c>
      <c r="O604" t="s">
        <v>250</v>
      </c>
      <c r="P604" t="s">
        <v>1351</v>
      </c>
      <c r="Q604" t="s">
        <v>1352</v>
      </c>
      <c r="R604">
        <v>2019</v>
      </c>
      <c r="S604" t="s">
        <v>253</v>
      </c>
      <c r="V604" t="s">
        <v>1353</v>
      </c>
      <c r="W604" t="s">
        <v>91</v>
      </c>
      <c r="X604" t="s">
        <v>126</v>
      </c>
      <c r="Y604" t="s">
        <v>292</v>
      </c>
      <c r="Z604" t="s">
        <v>293</v>
      </c>
      <c r="AA604" t="s">
        <v>294</v>
      </c>
      <c r="AB604" t="s">
        <v>1354</v>
      </c>
      <c r="AC604" t="s">
        <v>1355</v>
      </c>
      <c r="AD604" t="s">
        <v>132</v>
      </c>
      <c r="AE604" t="s">
        <v>133</v>
      </c>
      <c r="AF604" t="s">
        <v>100</v>
      </c>
      <c r="AG604" t="s">
        <v>101</v>
      </c>
      <c r="AH604" t="s">
        <v>102</v>
      </c>
      <c r="AI604" t="s">
        <v>103</v>
      </c>
      <c r="AJ604" t="s">
        <v>104</v>
      </c>
      <c r="AK604">
        <v>16</v>
      </c>
      <c r="AL604">
        <v>14.9</v>
      </c>
      <c r="AM604" t="s">
        <v>105</v>
      </c>
      <c r="AN604" t="s">
        <v>106</v>
      </c>
      <c r="AR604" t="s">
        <v>107</v>
      </c>
      <c r="AS604">
        <v>2017</v>
      </c>
      <c r="AT604">
        <f>(18.80597015+17.5879397)/2</f>
        <v>18.196954925</v>
      </c>
      <c r="AU604">
        <f>(0.03024194+0.03012048)/2</f>
        <v>3.018121E-2</v>
      </c>
      <c r="AV604">
        <v>16</v>
      </c>
      <c r="AW604" t="s">
        <v>108</v>
      </c>
      <c r="AY604" t="s">
        <v>134</v>
      </c>
      <c r="AZ604" t="s">
        <v>109</v>
      </c>
      <c r="BA604" t="s">
        <v>180</v>
      </c>
      <c r="BB604">
        <v>12.4</v>
      </c>
      <c r="BC604">
        <v>15</v>
      </c>
      <c r="BD604">
        <v>0.2</v>
      </c>
      <c r="BE604" t="s">
        <v>139</v>
      </c>
      <c r="BF604">
        <f>(11+9)/2</f>
        <v>10</v>
      </c>
      <c r="BG604">
        <f t="shared" si="27"/>
        <v>0.125</v>
      </c>
      <c r="BP604">
        <v>12</v>
      </c>
      <c r="BS604" t="s">
        <v>265</v>
      </c>
      <c r="BU604" t="s">
        <v>1360</v>
      </c>
      <c r="BV604">
        <v>24.350560000000002</v>
      </c>
      <c r="BW604">
        <v>1.9018204999999999</v>
      </c>
      <c r="BX604">
        <v>10</v>
      </c>
      <c r="BY604">
        <v>23.563600000000001</v>
      </c>
      <c r="BZ604">
        <v>1.8203901</v>
      </c>
      <c r="CA604">
        <v>10</v>
      </c>
      <c r="CB604" t="s">
        <v>113</v>
      </c>
      <c r="CC604" t="s">
        <v>319</v>
      </c>
    </row>
    <row r="605" spans="1:81" x14ac:dyDescent="0.25">
      <c r="A605" t="s">
        <v>81</v>
      </c>
      <c r="B605">
        <v>604</v>
      </c>
      <c r="C605">
        <v>121</v>
      </c>
      <c r="D605">
        <v>81</v>
      </c>
      <c r="E605">
        <v>124</v>
      </c>
      <c r="F605">
        <v>127</v>
      </c>
      <c r="G605">
        <v>354</v>
      </c>
      <c r="H605">
        <v>494</v>
      </c>
      <c r="I605" t="s">
        <v>1348</v>
      </c>
      <c r="J605" t="s">
        <v>1349</v>
      </c>
      <c r="L605" t="s">
        <v>1350</v>
      </c>
      <c r="M605" t="s">
        <v>85</v>
      </c>
      <c r="O605" t="s">
        <v>250</v>
      </c>
      <c r="P605" t="s">
        <v>1351</v>
      </c>
      <c r="Q605" t="s">
        <v>1352</v>
      </c>
      <c r="R605">
        <v>2019</v>
      </c>
      <c r="S605" t="s">
        <v>253</v>
      </c>
      <c r="V605" t="s">
        <v>1353</v>
      </c>
      <c r="W605" t="s">
        <v>91</v>
      </c>
      <c r="X605" t="s">
        <v>126</v>
      </c>
      <c r="Y605" t="s">
        <v>292</v>
      </c>
      <c r="Z605" t="s">
        <v>293</v>
      </c>
      <c r="AA605" t="s">
        <v>294</v>
      </c>
      <c r="AB605" t="s">
        <v>1354</v>
      </c>
      <c r="AC605" t="s">
        <v>1355</v>
      </c>
      <c r="AD605" t="s">
        <v>132</v>
      </c>
      <c r="AE605" t="s">
        <v>133</v>
      </c>
      <c r="AF605" t="s">
        <v>100</v>
      </c>
      <c r="AG605" t="s">
        <v>101</v>
      </c>
      <c r="AH605" t="s">
        <v>102</v>
      </c>
      <c r="AI605" t="s">
        <v>103</v>
      </c>
      <c r="AJ605" t="s">
        <v>104</v>
      </c>
      <c r="AK605">
        <v>16</v>
      </c>
      <c r="AL605">
        <v>14.9</v>
      </c>
      <c r="AM605" t="s">
        <v>105</v>
      </c>
      <c r="AN605" t="s">
        <v>106</v>
      </c>
      <c r="AR605" t="s">
        <v>107</v>
      </c>
      <c r="AS605">
        <v>2017</v>
      </c>
      <c r="AT605">
        <f>(17.5879397+17.05882353)/2</f>
        <v>17.323381615000002</v>
      </c>
      <c r="AU605">
        <f>(0.03012048+0.036)/2</f>
        <v>3.3060239999999998E-2</v>
      </c>
      <c r="AV605">
        <v>16</v>
      </c>
      <c r="AW605" t="s">
        <v>108</v>
      </c>
      <c r="AY605" t="s">
        <v>134</v>
      </c>
      <c r="AZ605" t="s">
        <v>109</v>
      </c>
      <c r="BA605" t="s">
        <v>180</v>
      </c>
      <c r="BB605">
        <v>15</v>
      </c>
      <c r="BC605">
        <v>17.8</v>
      </c>
      <c r="BD605">
        <v>0.3</v>
      </c>
      <c r="BE605" t="s">
        <v>139</v>
      </c>
      <c r="BF605">
        <f>(9+7)/2</f>
        <v>8</v>
      </c>
      <c r="BG605">
        <f t="shared" si="27"/>
        <v>0.125</v>
      </c>
      <c r="BP605">
        <v>12</v>
      </c>
      <c r="BS605" t="s">
        <v>265</v>
      </c>
      <c r="BU605" t="s">
        <v>1360</v>
      </c>
      <c r="BV605">
        <v>23.563600000000001</v>
      </c>
      <c r="BW605">
        <v>1.8203901</v>
      </c>
      <c r="BX605">
        <v>10</v>
      </c>
      <c r="BY605">
        <v>24.44079</v>
      </c>
      <c r="BZ605">
        <v>1.3869639</v>
      </c>
      <c r="CA605">
        <v>10</v>
      </c>
      <c r="CB605" t="s">
        <v>113</v>
      </c>
      <c r="CC605" t="s">
        <v>319</v>
      </c>
    </row>
    <row r="606" spans="1:81" x14ac:dyDescent="0.25">
      <c r="A606" t="s">
        <v>81</v>
      </c>
      <c r="B606">
        <v>605</v>
      </c>
      <c r="C606">
        <v>121</v>
      </c>
      <c r="D606">
        <v>81</v>
      </c>
      <c r="E606">
        <v>124</v>
      </c>
      <c r="F606">
        <v>127</v>
      </c>
      <c r="G606">
        <v>355</v>
      </c>
      <c r="H606">
        <v>495</v>
      </c>
      <c r="I606" t="s">
        <v>1348</v>
      </c>
      <c r="J606" t="s">
        <v>1349</v>
      </c>
      <c r="L606" t="s">
        <v>1350</v>
      </c>
      <c r="M606" t="s">
        <v>85</v>
      </c>
      <c r="O606" t="s">
        <v>250</v>
      </c>
      <c r="P606" t="s">
        <v>1351</v>
      </c>
      <c r="Q606" t="s">
        <v>1352</v>
      </c>
      <c r="R606">
        <v>2019</v>
      </c>
      <c r="S606" t="s">
        <v>253</v>
      </c>
      <c r="V606" t="s">
        <v>1353</v>
      </c>
      <c r="W606" t="s">
        <v>91</v>
      </c>
      <c r="X606" t="s">
        <v>126</v>
      </c>
      <c r="Y606" t="s">
        <v>292</v>
      </c>
      <c r="Z606" t="s">
        <v>293</v>
      </c>
      <c r="AA606" t="s">
        <v>294</v>
      </c>
      <c r="AB606" t="s">
        <v>1354</v>
      </c>
      <c r="AC606" t="s">
        <v>1355</v>
      </c>
      <c r="AD606" t="s">
        <v>132</v>
      </c>
      <c r="AE606" t="s">
        <v>133</v>
      </c>
      <c r="AF606" t="s">
        <v>100</v>
      </c>
      <c r="AG606" t="s">
        <v>101</v>
      </c>
      <c r="AH606" t="s">
        <v>102</v>
      </c>
      <c r="AI606" t="s">
        <v>103</v>
      </c>
      <c r="AJ606" t="s">
        <v>104</v>
      </c>
      <c r="AK606">
        <v>22</v>
      </c>
      <c r="AL606">
        <v>14.9</v>
      </c>
      <c r="AM606" t="s">
        <v>105</v>
      </c>
      <c r="AN606" t="s">
        <v>106</v>
      </c>
      <c r="AR606" t="s">
        <v>107</v>
      </c>
      <c r="AS606">
        <v>2017</v>
      </c>
      <c r="AT606">
        <f>(19.40298507+19.39698492)/2</f>
        <v>19.399984995000001</v>
      </c>
      <c r="AU606">
        <f>(0.03024194+0.03012048)/2</f>
        <v>3.018121E-2</v>
      </c>
      <c r="AV606">
        <v>22</v>
      </c>
      <c r="AW606" t="s">
        <v>108</v>
      </c>
      <c r="AY606" t="s">
        <v>134</v>
      </c>
      <c r="AZ606" t="s">
        <v>109</v>
      </c>
      <c r="BA606" t="s">
        <v>180</v>
      </c>
      <c r="BB606">
        <v>12.4</v>
      </c>
      <c r="BC606">
        <v>15</v>
      </c>
      <c r="BD606">
        <v>0.2</v>
      </c>
      <c r="BE606" t="s">
        <v>139</v>
      </c>
      <c r="BF606">
        <f>(11+9)/2</f>
        <v>10</v>
      </c>
      <c r="BG606">
        <f t="shared" si="27"/>
        <v>0.125</v>
      </c>
      <c r="BP606">
        <v>12</v>
      </c>
      <c r="BS606" t="s">
        <v>265</v>
      </c>
      <c r="BU606" t="s">
        <v>1360</v>
      </c>
      <c r="BV606">
        <v>28.779119999999999</v>
      </c>
      <c r="BW606">
        <v>1.7289277000000001</v>
      </c>
      <c r="BX606">
        <v>10</v>
      </c>
      <c r="BY606">
        <v>28.004390000000001</v>
      </c>
      <c r="BZ606">
        <v>2.0804458000000001</v>
      </c>
      <c r="CA606">
        <v>10</v>
      </c>
      <c r="CB606" t="s">
        <v>113</v>
      </c>
      <c r="CC606" t="s">
        <v>319</v>
      </c>
    </row>
    <row r="607" spans="1:81" x14ac:dyDescent="0.25">
      <c r="A607" t="s">
        <v>81</v>
      </c>
      <c r="B607">
        <v>606</v>
      </c>
      <c r="C607">
        <v>121</v>
      </c>
      <c r="D607">
        <v>81</v>
      </c>
      <c r="E607">
        <v>124</v>
      </c>
      <c r="F607">
        <v>127</v>
      </c>
      <c r="G607">
        <v>355</v>
      </c>
      <c r="H607">
        <v>496</v>
      </c>
      <c r="I607" t="s">
        <v>1348</v>
      </c>
      <c r="J607" t="s">
        <v>1349</v>
      </c>
      <c r="L607" t="s">
        <v>1350</v>
      </c>
      <c r="M607" t="s">
        <v>85</v>
      </c>
      <c r="O607" t="s">
        <v>250</v>
      </c>
      <c r="P607" t="s">
        <v>1351</v>
      </c>
      <c r="Q607" t="s">
        <v>1352</v>
      </c>
      <c r="R607">
        <v>2019</v>
      </c>
      <c r="S607" t="s">
        <v>253</v>
      </c>
      <c r="V607" t="s">
        <v>1353</v>
      </c>
      <c r="W607" t="s">
        <v>91</v>
      </c>
      <c r="X607" t="s">
        <v>126</v>
      </c>
      <c r="Y607" t="s">
        <v>292</v>
      </c>
      <c r="Z607" t="s">
        <v>293</v>
      </c>
      <c r="AA607" t="s">
        <v>294</v>
      </c>
      <c r="AB607" t="s">
        <v>1354</v>
      </c>
      <c r="AC607" t="s">
        <v>1355</v>
      </c>
      <c r="AD607" t="s">
        <v>132</v>
      </c>
      <c r="AE607" t="s">
        <v>133</v>
      </c>
      <c r="AF607" t="s">
        <v>100</v>
      </c>
      <c r="AG607" t="s">
        <v>101</v>
      </c>
      <c r="AH607" t="s">
        <v>102</v>
      </c>
      <c r="AI607" t="s">
        <v>103</v>
      </c>
      <c r="AJ607" t="s">
        <v>104</v>
      </c>
      <c r="AK607">
        <v>22</v>
      </c>
      <c r="AL607">
        <v>14.9</v>
      </c>
      <c r="AM607" t="s">
        <v>105</v>
      </c>
      <c r="AN607" t="s">
        <v>106</v>
      </c>
      <c r="AR607" t="s">
        <v>107</v>
      </c>
      <c r="AS607">
        <v>2017</v>
      </c>
      <c r="AT607">
        <f>(19.39698492+17.84313725)/2</f>
        <v>18.620061085000003</v>
      </c>
      <c r="AU607">
        <f>(0.03012048+0.03)/2</f>
        <v>3.0060240000000002E-2</v>
      </c>
      <c r="AV607">
        <v>22</v>
      </c>
      <c r="AW607" t="s">
        <v>108</v>
      </c>
      <c r="AY607" t="s">
        <v>134</v>
      </c>
      <c r="AZ607" t="s">
        <v>109</v>
      </c>
      <c r="BA607" t="s">
        <v>180</v>
      </c>
      <c r="BB607">
        <v>15</v>
      </c>
      <c r="BC607">
        <v>17.8</v>
      </c>
      <c r="BD607">
        <v>0.3</v>
      </c>
      <c r="BE607" t="s">
        <v>139</v>
      </c>
      <c r="BF607">
        <f>(9+7)/2</f>
        <v>8</v>
      </c>
      <c r="BG607">
        <f t="shared" si="27"/>
        <v>0.125</v>
      </c>
      <c r="BP607">
        <v>12</v>
      </c>
      <c r="BS607" t="s">
        <v>265</v>
      </c>
      <c r="BU607" t="s">
        <v>1360</v>
      </c>
      <c r="BV607">
        <v>28.004390000000001</v>
      </c>
      <c r="BW607">
        <v>2.0804458000000001</v>
      </c>
      <c r="BX607">
        <v>10</v>
      </c>
      <c r="BY607">
        <v>26.688600000000001</v>
      </c>
      <c r="BZ607">
        <v>1.9937606000000001</v>
      </c>
      <c r="CA607">
        <v>10</v>
      </c>
      <c r="CB607" t="s">
        <v>113</v>
      </c>
      <c r="CC607" t="s">
        <v>319</v>
      </c>
    </row>
    <row r="608" spans="1:81" x14ac:dyDescent="0.25">
      <c r="A608" t="s">
        <v>81</v>
      </c>
      <c r="B608">
        <v>607</v>
      </c>
      <c r="C608">
        <v>121</v>
      </c>
      <c r="D608">
        <v>81</v>
      </c>
      <c r="E608">
        <v>124</v>
      </c>
      <c r="F608">
        <v>127</v>
      </c>
      <c r="G608">
        <v>356</v>
      </c>
      <c r="H608">
        <v>497</v>
      </c>
      <c r="I608" t="s">
        <v>1348</v>
      </c>
      <c r="J608" t="s">
        <v>1349</v>
      </c>
      <c r="L608" t="s">
        <v>1350</v>
      </c>
      <c r="M608" t="s">
        <v>85</v>
      </c>
      <c r="O608" t="s">
        <v>250</v>
      </c>
      <c r="P608" t="s">
        <v>1351</v>
      </c>
      <c r="Q608" t="s">
        <v>1352</v>
      </c>
      <c r="R608">
        <v>2019</v>
      </c>
      <c r="S608" t="s">
        <v>253</v>
      </c>
      <c r="V608" t="s">
        <v>1353</v>
      </c>
      <c r="W608" t="s">
        <v>91</v>
      </c>
      <c r="X608" t="s">
        <v>126</v>
      </c>
      <c r="Y608" t="s">
        <v>292</v>
      </c>
      <c r="Z608" t="s">
        <v>293</v>
      </c>
      <c r="AA608" t="s">
        <v>294</v>
      </c>
      <c r="AB608" t="s">
        <v>1354</v>
      </c>
      <c r="AC608" t="s">
        <v>1355</v>
      </c>
      <c r="AD608" t="s">
        <v>132</v>
      </c>
      <c r="AE608" t="s">
        <v>133</v>
      </c>
      <c r="AF608" t="s">
        <v>100</v>
      </c>
      <c r="AG608" t="s">
        <v>101</v>
      </c>
      <c r="AH608" t="s">
        <v>102</v>
      </c>
      <c r="AI608" t="s">
        <v>103</v>
      </c>
      <c r="AJ608" t="s">
        <v>104</v>
      </c>
      <c r="AK608">
        <v>30</v>
      </c>
      <c r="AL608">
        <v>14.9</v>
      </c>
      <c r="AM608" t="s">
        <v>105</v>
      </c>
      <c r="AN608" t="s">
        <v>106</v>
      </c>
      <c r="AR608" t="s">
        <v>107</v>
      </c>
      <c r="AS608">
        <v>2017</v>
      </c>
      <c r="AT608">
        <f>(21.19402985+19.39698492)/2</f>
        <v>20.295507385000001</v>
      </c>
      <c r="AU608">
        <f>(0.04233871+0.03614458)/2</f>
        <v>3.9241645000000006E-2</v>
      </c>
      <c r="AV608">
        <v>30</v>
      </c>
      <c r="AW608" t="s">
        <v>108</v>
      </c>
      <c r="AY608" t="s">
        <v>134</v>
      </c>
      <c r="AZ608" t="s">
        <v>109</v>
      </c>
      <c r="BA608" t="s">
        <v>180</v>
      </c>
      <c r="BB608">
        <v>12.4</v>
      </c>
      <c r="BC608">
        <v>15</v>
      </c>
      <c r="BD608">
        <v>0.2</v>
      </c>
      <c r="BE608" t="s">
        <v>139</v>
      </c>
      <c r="BF608">
        <f>(11+9)/2</f>
        <v>10</v>
      </c>
      <c r="BG608">
        <f t="shared" si="27"/>
        <v>0.125</v>
      </c>
      <c r="BP608">
        <v>12</v>
      </c>
      <c r="BS608" t="s">
        <v>265</v>
      </c>
      <c r="BU608" t="s">
        <v>1360</v>
      </c>
      <c r="BV608">
        <v>29.92726</v>
      </c>
      <c r="BW608">
        <v>0.4322319</v>
      </c>
      <c r="BX608">
        <v>10</v>
      </c>
      <c r="BY608">
        <v>28.58004</v>
      </c>
      <c r="BZ608">
        <v>1.0402229000000001</v>
      </c>
      <c r="CA608">
        <v>10</v>
      </c>
      <c r="CB608" t="s">
        <v>113</v>
      </c>
      <c r="CC608" t="s">
        <v>319</v>
      </c>
    </row>
    <row r="609" spans="1:81" x14ac:dyDescent="0.25">
      <c r="A609" t="s">
        <v>81</v>
      </c>
      <c r="B609">
        <v>608</v>
      </c>
      <c r="C609">
        <v>121</v>
      </c>
      <c r="D609">
        <v>81</v>
      </c>
      <c r="E609">
        <v>124</v>
      </c>
      <c r="F609">
        <v>127</v>
      </c>
      <c r="G609">
        <v>356</v>
      </c>
      <c r="H609">
        <v>498</v>
      </c>
      <c r="I609" t="s">
        <v>1348</v>
      </c>
      <c r="J609" t="s">
        <v>1349</v>
      </c>
      <c r="L609" t="s">
        <v>1350</v>
      </c>
      <c r="M609" t="s">
        <v>85</v>
      </c>
      <c r="O609" t="s">
        <v>250</v>
      </c>
      <c r="P609" t="s">
        <v>1351</v>
      </c>
      <c r="Q609" t="s">
        <v>1352</v>
      </c>
      <c r="R609">
        <v>2019</v>
      </c>
      <c r="S609" t="s">
        <v>253</v>
      </c>
      <c r="V609" t="s">
        <v>1353</v>
      </c>
      <c r="W609" t="s">
        <v>91</v>
      </c>
      <c r="X609" t="s">
        <v>126</v>
      </c>
      <c r="Y609" t="s">
        <v>292</v>
      </c>
      <c r="Z609" t="s">
        <v>293</v>
      </c>
      <c r="AA609" t="s">
        <v>294</v>
      </c>
      <c r="AB609" t="s">
        <v>1354</v>
      </c>
      <c r="AC609" t="s">
        <v>1355</v>
      </c>
      <c r="AD609" t="s">
        <v>132</v>
      </c>
      <c r="AE609" t="s">
        <v>133</v>
      </c>
      <c r="AF609" t="s">
        <v>100</v>
      </c>
      <c r="AG609" t="s">
        <v>101</v>
      </c>
      <c r="AH609" t="s">
        <v>102</v>
      </c>
      <c r="AI609" t="s">
        <v>103</v>
      </c>
      <c r="AJ609" t="s">
        <v>104</v>
      </c>
      <c r="AK609">
        <v>30</v>
      </c>
      <c r="AL609">
        <v>14.9</v>
      </c>
      <c r="AM609" t="s">
        <v>105</v>
      </c>
      <c r="AN609" t="s">
        <v>106</v>
      </c>
      <c r="AR609" t="s">
        <v>107</v>
      </c>
      <c r="AS609">
        <v>2017</v>
      </c>
      <c r="AT609">
        <f>(19.39698492+20)/2</f>
        <v>19.698492460000001</v>
      </c>
      <c r="AU609">
        <f>(0.03614458+0.042)/2</f>
        <v>3.9072290000000003E-2</v>
      </c>
      <c r="AV609">
        <v>30</v>
      </c>
      <c r="AW609" t="s">
        <v>108</v>
      </c>
      <c r="AY609" t="s">
        <v>134</v>
      </c>
      <c r="AZ609" t="s">
        <v>109</v>
      </c>
      <c r="BA609" t="s">
        <v>180</v>
      </c>
      <c r="BB609">
        <v>15</v>
      </c>
      <c r="BC609">
        <v>17.8</v>
      </c>
      <c r="BD609">
        <v>0.3</v>
      </c>
      <c r="BE609" t="s">
        <v>139</v>
      </c>
      <c r="BF609">
        <f>(9+7)/2</f>
        <v>8</v>
      </c>
      <c r="BG609">
        <f t="shared" si="27"/>
        <v>0.125</v>
      </c>
      <c r="BP609">
        <v>12</v>
      </c>
      <c r="BS609" t="s">
        <v>265</v>
      </c>
      <c r="BU609" t="s">
        <v>1360</v>
      </c>
      <c r="BV609">
        <v>28.58004</v>
      </c>
      <c r="BW609">
        <v>1.0402229000000001</v>
      </c>
      <c r="BX609">
        <v>10</v>
      </c>
      <c r="BY609">
        <v>29.978069999999999</v>
      </c>
      <c r="BZ609">
        <v>0.43342619999999998</v>
      </c>
      <c r="CA609">
        <v>10</v>
      </c>
      <c r="CB609" t="s">
        <v>113</v>
      </c>
      <c r="CC609" t="s">
        <v>319</v>
      </c>
    </row>
    <row r="610" spans="1:81" x14ac:dyDescent="0.25">
      <c r="A610" t="s">
        <v>81</v>
      </c>
      <c r="B610">
        <v>609</v>
      </c>
      <c r="C610">
        <v>121</v>
      </c>
      <c r="D610">
        <v>81</v>
      </c>
      <c r="E610">
        <v>124</v>
      </c>
      <c r="F610">
        <v>127</v>
      </c>
      <c r="G610">
        <v>357</v>
      </c>
      <c r="H610">
        <v>499</v>
      </c>
      <c r="I610" t="s">
        <v>1348</v>
      </c>
      <c r="J610" t="s">
        <v>1349</v>
      </c>
      <c r="L610" t="s">
        <v>1350</v>
      </c>
      <c r="M610" t="s">
        <v>85</v>
      </c>
      <c r="O610" t="s">
        <v>250</v>
      </c>
      <c r="P610" t="s">
        <v>1351</v>
      </c>
      <c r="Q610" t="s">
        <v>1352</v>
      </c>
      <c r="R610">
        <v>2019</v>
      </c>
      <c r="S610" t="s">
        <v>253</v>
      </c>
      <c r="V610" t="s">
        <v>1353</v>
      </c>
      <c r="W610" t="s">
        <v>91</v>
      </c>
      <c r="X610" t="s">
        <v>126</v>
      </c>
      <c r="Y610" t="s">
        <v>292</v>
      </c>
      <c r="Z610" t="s">
        <v>293</v>
      </c>
      <c r="AA610" t="s">
        <v>294</v>
      </c>
      <c r="AB610" t="s">
        <v>1354</v>
      </c>
      <c r="AC610" t="s">
        <v>1355</v>
      </c>
      <c r="AD610" t="s">
        <v>132</v>
      </c>
      <c r="AE610" t="s">
        <v>133</v>
      </c>
      <c r="AF610" t="s">
        <v>100</v>
      </c>
      <c r="AG610" t="s">
        <v>101</v>
      </c>
      <c r="AH610" t="s">
        <v>102</v>
      </c>
      <c r="AI610" t="s">
        <v>103</v>
      </c>
      <c r="AJ610" t="s">
        <v>104</v>
      </c>
      <c r="AK610">
        <v>40</v>
      </c>
      <c r="AL610">
        <v>14.9</v>
      </c>
      <c r="AM610" t="s">
        <v>105</v>
      </c>
      <c r="AN610" t="s">
        <v>106</v>
      </c>
      <c r="AR610" t="s">
        <v>107</v>
      </c>
      <c r="AS610">
        <v>2017</v>
      </c>
      <c r="AT610">
        <f>(24.17910448+23.61809045)/2</f>
        <v>23.898597465000002</v>
      </c>
      <c r="AU610">
        <f>(0.06048387+0.05421687)/2</f>
        <v>5.7350369999999998E-2</v>
      </c>
      <c r="AV610">
        <v>40</v>
      </c>
      <c r="AW610" t="s">
        <v>108</v>
      </c>
      <c r="AY610" t="s">
        <v>134</v>
      </c>
      <c r="AZ610" t="s">
        <v>109</v>
      </c>
      <c r="BA610" t="s">
        <v>180</v>
      </c>
      <c r="BB610">
        <v>12.4</v>
      </c>
      <c r="BC610">
        <v>15</v>
      </c>
      <c r="BD610">
        <v>0.2</v>
      </c>
      <c r="BE610" t="s">
        <v>139</v>
      </c>
      <c r="BF610">
        <f>(11+9)/2</f>
        <v>10</v>
      </c>
      <c r="BG610">
        <f t="shared" si="27"/>
        <v>0.125</v>
      </c>
      <c r="BP610">
        <v>12</v>
      </c>
      <c r="BS610" t="s">
        <v>265</v>
      </c>
      <c r="BU610" t="s">
        <v>1360</v>
      </c>
      <c r="BV610">
        <v>30.30997</v>
      </c>
      <c r="BW610">
        <v>0.6560819</v>
      </c>
      <c r="BX610">
        <v>9</v>
      </c>
      <c r="BY610">
        <v>30.498899999999999</v>
      </c>
      <c r="BZ610">
        <v>0.34674100000000002</v>
      </c>
      <c r="CA610">
        <v>10</v>
      </c>
      <c r="CB610" t="s">
        <v>113</v>
      </c>
      <c r="CC610" t="s">
        <v>319</v>
      </c>
    </row>
    <row r="611" spans="1:81" x14ac:dyDescent="0.25">
      <c r="A611" t="s">
        <v>81</v>
      </c>
      <c r="B611">
        <v>610</v>
      </c>
      <c r="C611">
        <v>121</v>
      </c>
      <c r="D611">
        <v>81</v>
      </c>
      <c r="E611">
        <v>124</v>
      </c>
      <c r="F611">
        <v>127</v>
      </c>
      <c r="G611">
        <v>357</v>
      </c>
      <c r="H611">
        <v>500</v>
      </c>
      <c r="I611" t="s">
        <v>1348</v>
      </c>
      <c r="J611" t="s">
        <v>1349</v>
      </c>
      <c r="L611" t="s">
        <v>1350</v>
      </c>
      <c r="M611" t="s">
        <v>85</v>
      </c>
      <c r="O611" t="s">
        <v>250</v>
      </c>
      <c r="P611" t="s">
        <v>1351</v>
      </c>
      <c r="Q611" t="s">
        <v>1352</v>
      </c>
      <c r="R611">
        <v>2019</v>
      </c>
      <c r="S611" t="s">
        <v>253</v>
      </c>
      <c r="V611" t="s">
        <v>1353</v>
      </c>
      <c r="W611" t="s">
        <v>91</v>
      </c>
      <c r="X611" t="s">
        <v>126</v>
      </c>
      <c r="Y611" t="s">
        <v>292</v>
      </c>
      <c r="Z611" t="s">
        <v>293</v>
      </c>
      <c r="AA611" t="s">
        <v>294</v>
      </c>
      <c r="AB611" t="s">
        <v>1354</v>
      </c>
      <c r="AC611" t="s">
        <v>1355</v>
      </c>
      <c r="AD611" t="s">
        <v>132</v>
      </c>
      <c r="AE611" t="s">
        <v>133</v>
      </c>
      <c r="AF611" t="s">
        <v>100</v>
      </c>
      <c r="AG611" t="s">
        <v>101</v>
      </c>
      <c r="AH611" t="s">
        <v>102</v>
      </c>
      <c r="AI611" t="s">
        <v>103</v>
      </c>
      <c r="AJ611" t="s">
        <v>104</v>
      </c>
      <c r="AK611">
        <v>40</v>
      </c>
      <c r="AL611">
        <v>14.9</v>
      </c>
      <c r="AM611" t="s">
        <v>105</v>
      </c>
      <c r="AN611" t="s">
        <v>106</v>
      </c>
      <c r="AR611" t="s">
        <v>107</v>
      </c>
      <c r="AS611">
        <v>2017</v>
      </c>
      <c r="AT611">
        <f>(23.61809045+21.37254902)/2</f>
        <v>22.495319735000002</v>
      </c>
      <c r="AU611">
        <f>(0.05421687+0.042)/2</f>
        <v>4.8108435000000005E-2</v>
      </c>
      <c r="AV611">
        <v>40</v>
      </c>
      <c r="AW611" t="s">
        <v>108</v>
      </c>
      <c r="AY611" t="s">
        <v>134</v>
      </c>
      <c r="AZ611" t="s">
        <v>109</v>
      </c>
      <c r="BA611" t="s">
        <v>180</v>
      </c>
      <c r="BB611">
        <v>15</v>
      </c>
      <c r="BC611">
        <v>17.8</v>
      </c>
      <c r="BD611">
        <v>0.3</v>
      </c>
      <c r="BE611" t="s">
        <v>139</v>
      </c>
      <c r="BF611">
        <f>(9+7)/2</f>
        <v>8</v>
      </c>
      <c r="BG611">
        <f t="shared" si="27"/>
        <v>0.125</v>
      </c>
      <c r="BP611">
        <v>12</v>
      </c>
      <c r="BS611" t="s">
        <v>265</v>
      </c>
      <c r="BU611" t="s">
        <v>1360</v>
      </c>
      <c r="BV611">
        <v>30.498899999999999</v>
      </c>
      <c r="BW611">
        <v>0.34674100000000002</v>
      </c>
      <c r="BX611">
        <v>10</v>
      </c>
      <c r="BY611">
        <v>29.86842</v>
      </c>
      <c r="BZ611">
        <v>0.78016719999999995</v>
      </c>
      <c r="CA611">
        <v>10</v>
      </c>
      <c r="CB611" t="s">
        <v>113</v>
      </c>
      <c r="CC611" t="s">
        <v>319</v>
      </c>
    </row>
    <row r="612" spans="1:81" x14ac:dyDescent="0.25">
      <c r="A612" t="s">
        <v>81</v>
      </c>
      <c r="B612">
        <v>611</v>
      </c>
      <c r="C612">
        <v>121</v>
      </c>
      <c r="D612">
        <v>81</v>
      </c>
      <c r="E612">
        <v>124</v>
      </c>
      <c r="F612">
        <v>127</v>
      </c>
      <c r="G612">
        <v>358</v>
      </c>
      <c r="H612">
        <v>501</v>
      </c>
      <c r="I612" t="s">
        <v>1348</v>
      </c>
      <c r="J612" t="s">
        <v>1349</v>
      </c>
      <c r="L612" t="s">
        <v>1350</v>
      </c>
      <c r="M612" t="s">
        <v>85</v>
      </c>
      <c r="O612" t="s">
        <v>250</v>
      </c>
      <c r="P612" t="s">
        <v>1351</v>
      </c>
      <c r="Q612" t="s">
        <v>1352</v>
      </c>
      <c r="R612">
        <v>2019</v>
      </c>
      <c r="S612" t="s">
        <v>253</v>
      </c>
      <c r="V612" t="s">
        <v>1353</v>
      </c>
      <c r="W612" t="s">
        <v>91</v>
      </c>
      <c r="X612" t="s">
        <v>126</v>
      </c>
      <c r="Y612" t="s">
        <v>292</v>
      </c>
      <c r="Z612" t="s">
        <v>293</v>
      </c>
      <c r="AA612" t="s">
        <v>294</v>
      </c>
      <c r="AB612" t="s">
        <v>1354</v>
      </c>
      <c r="AC612" t="s">
        <v>1355</v>
      </c>
      <c r="AD612" t="s">
        <v>132</v>
      </c>
      <c r="AE612" t="s">
        <v>133</v>
      </c>
      <c r="AF612" t="s">
        <v>100</v>
      </c>
      <c r="AG612" t="s">
        <v>101</v>
      </c>
      <c r="AH612" t="s">
        <v>102</v>
      </c>
      <c r="AI612" t="s">
        <v>103</v>
      </c>
      <c r="AJ612" t="s">
        <v>104</v>
      </c>
      <c r="AK612">
        <v>50</v>
      </c>
      <c r="AL612">
        <v>14.9</v>
      </c>
      <c r="AM612" t="s">
        <v>105</v>
      </c>
      <c r="AN612" t="s">
        <v>106</v>
      </c>
      <c r="AR612" t="s">
        <v>107</v>
      </c>
      <c r="AS612">
        <v>2017</v>
      </c>
      <c r="AT612">
        <f>(27.1641791+25.02512563)/2</f>
        <v>26.094652365000002</v>
      </c>
      <c r="AU612">
        <f>(0.10282258+0.08433735)/2</f>
        <v>9.3579965000000001E-2</v>
      </c>
      <c r="AV612">
        <v>50</v>
      </c>
      <c r="AW612" t="s">
        <v>108</v>
      </c>
      <c r="AY612" t="s">
        <v>134</v>
      </c>
      <c r="AZ612" t="s">
        <v>109</v>
      </c>
      <c r="BA612" t="s">
        <v>180</v>
      </c>
      <c r="BB612">
        <v>12.4</v>
      </c>
      <c r="BC612">
        <v>15</v>
      </c>
      <c r="BD612">
        <v>0.2</v>
      </c>
      <c r="BE612" t="s">
        <v>139</v>
      </c>
      <c r="BF612">
        <f>(11+9)/2</f>
        <v>10</v>
      </c>
      <c r="BG612">
        <f t="shared" si="27"/>
        <v>0.125</v>
      </c>
      <c r="BP612">
        <v>12</v>
      </c>
      <c r="BS612" t="s">
        <v>265</v>
      </c>
      <c r="BU612" t="s">
        <v>1360</v>
      </c>
      <c r="BV612">
        <v>30.145949999999999</v>
      </c>
      <c r="BW612">
        <v>0.60512469999999996</v>
      </c>
      <c r="BX612">
        <v>10</v>
      </c>
      <c r="BY612">
        <v>30.334430000000001</v>
      </c>
      <c r="BZ612">
        <v>0.60679669999999997</v>
      </c>
      <c r="CA612">
        <v>10</v>
      </c>
      <c r="CB612" t="s">
        <v>113</v>
      </c>
      <c r="CC612" t="s">
        <v>319</v>
      </c>
    </row>
    <row r="613" spans="1:81" x14ac:dyDescent="0.25">
      <c r="A613" t="s">
        <v>81</v>
      </c>
      <c r="B613">
        <v>612</v>
      </c>
      <c r="C613">
        <v>121</v>
      </c>
      <c r="D613">
        <v>81</v>
      </c>
      <c r="E613">
        <v>124</v>
      </c>
      <c r="F613">
        <v>127</v>
      </c>
      <c r="G613">
        <v>358</v>
      </c>
      <c r="H613">
        <v>502</v>
      </c>
      <c r="I613" t="s">
        <v>1348</v>
      </c>
      <c r="J613" t="s">
        <v>1349</v>
      </c>
      <c r="L613" t="s">
        <v>1350</v>
      </c>
      <c r="M613" t="s">
        <v>85</v>
      </c>
      <c r="O613" t="s">
        <v>250</v>
      </c>
      <c r="P613" t="s">
        <v>1351</v>
      </c>
      <c r="Q613" t="s">
        <v>1352</v>
      </c>
      <c r="R613">
        <v>2019</v>
      </c>
      <c r="S613" t="s">
        <v>253</v>
      </c>
      <c r="V613" t="s">
        <v>1353</v>
      </c>
      <c r="W613" t="s">
        <v>91</v>
      </c>
      <c r="X613" t="s">
        <v>126</v>
      </c>
      <c r="Y613" t="s">
        <v>292</v>
      </c>
      <c r="Z613" t="s">
        <v>293</v>
      </c>
      <c r="AA613" t="s">
        <v>294</v>
      </c>
      <c r="AB613" t="s">
        <v>1354</v>
      </c>
      <c r="AC613" t="s">
        <v>1355</v>
      </c>
      <c r="AD613" t="s">
        <v>132</v>
      </c>
      <c r="AE613" t="s">
        <v>133</v>
      </c>
      <c r="AF613" t="s">
        <v>100</v>
      </c>
      <c r="AG613" t="s">
        <v>101</v>
      </c>
      <c r="AH613" t="s">
        <v>102</v>
      </c>
      <c r="AI613" t="s">
        <v>103</v>
      </c>
      <c r="AJ613" t="s">
        <v>104</v>
      </c>
      <c r="AK613">
        <v>50</v>
      </c>
      <c r="AL613">
        <v>14.9</v>
      </c>
      <c r="AM613" t="s">
        <v>105</v>
      </c>
      <c r="AN613" t="s">
        <v>106</v>
      </c>
      <c r="AR613" t="s">
        <v>107</v>
      </c>
      <c r="AS613">
        <v>2017</v>
      </c>
      <c r="AT613">
        <f>(25.02512563+25.68627451)/2</f>
        <v>25.355700070000001</v>
      </c>
      <c r="AU613">
        <f>(0.08433735+0.084)/2</f>
        <v>8.4168674999999998E-2</v>
      </c>
      <c r="AV613">
        <v>50</v>
      </c>
      <c r="AW613" t="s">
        <v>108</v>
      </c>
      <c r="AY613" t="s">
        <v>134</v>
      </c>
      <c r="AZ613" t="s">
        <v>109</v>
      </c>
      <c r="BA613" t="s">
        <v>180</v>
      </c>
      <c r="BB613">
        <v>15</v>
      </c>
      <c r="BC613">
        <v>17.8</v>
      </c>
      <c r="BD613">
        <v>0.3</v>
      </c>
      <c r="BE613" t="s">
        <v>139</v>
      </c>
      <c r="BF613">
        <f>(9+7)/2</f>
        <v>8</v>
      </c>
      <c r="BG613">
        <f t="shared" si="27"/>
        <v>0.125</v>
      </c>
      <c r="BP613">
        <v>12</v>
      </c>
      <c r="BS613" t="s">
        <v>265</v>
      </c>
      <c r="BU613" t="s">
        <v>1360</v>
      </c>
      <c r="BV613">
        <v>30.334430000000001</v>
      </c>
      <c r="BW613">
        <v>0.60679669999999997</v>
      </c>
      <c r="BX613">
        <v>10</v>
      </c>
      <c r="BY613">
        <v>30.361840000000001</v>
      </c>
      <c r="BZ613">
        <v>0.34674100000000002</v>
      </c>
      <c r="CA613">
        <v>10</v>
      </c>
      <c r="CB613" t="s">
        <v>113</v>
      </c>
      <c r="CC613" t="s">
        <v>319</v>
      </c>
    </row>
    <row r="614" spans="1:81" x14ac:dyDescent="0.25">
      <c r="A614" t="s">
        <v>81</v>
      </c>
      <c r="B614">
        <v>613</v>
      </c>
      <c r="C614">
        <v>121</v>
      </c>
      <c r="D614">
        <v>81</v>
      </c>
      <c r="E614">
        <v>124</v>
      </c>
      <c r="F614">
        <v>127</v>
      </c>
      <c r="G614">
        <v>359</v>
      </c>
      <c r="H614">
        <v>503</v>
      </c>
      <c r="I614" t="s">
        <v>1348</v>
      </c>
      <c r="J614" t="s">
        <v>1349</v>
      </c>
      <c r="L614" t="s">
        <v>1350</v>
      </c>
      <c r="M614" t="s">
        <v>85</v>
      </c>
      <c r="O614" t="s">
        <v>250</v>
      </c>
      <c r="P614" t="s">
        <v>1351</v>
      </c>
      <c r="Q614" t="s">
        <v>1352</v>
      </c>
      <c r="R614">
        <v>2019</v>
      </c>
      <c r="S614" t="s">
        <v>253</v>
      </c>
      <c r="V614" t="s">
        <v>1353</v>
      </c>
      <c r="W614" t="s">
        <v>91</v>
      </c>
      <c r="X614" t="s">
        <v>126</v>
      </c>
      <c r="Y614" t="s">
        <v>292</v>
      </c>
      <c r="Z614" t="s">
        <v>293</v>
      </c>
      <c r="AA614" t="s">
        <v>294</v>
      </c>
      <c r="AB614" t="s">
        <v>1354</v>
      </c>
      <c r="AC614" t="s">
        <v>1355</v>
      </c>
      <c r="AD614" t="s">
        <v>132</v>
      </c>
      <c r="AE614" t="s">
        <v>133</v>
      </c>
      <c r="AF614" t="s">
        <v>100</v>
      </c>
      <c r="AG614" t="s">
        <v>101</v>
      </c>
      <c r="AH614" t="s">
        <v>102</v>
      </c>
      <c r="AI614" t="s">
        <v>103</v>
      </c>
      <c r="AJ614" t="s">
        <v>104</v>
      </c>
      <c r="AK614">
        <v>60</v>
      </c>
      <c r="AL614">
        <v>14.9</v>
      </c>
      <c r="AM614" t="s">
        <v>105</v>
      </c>
      <c r="AN614" t="s">
        <v>106</v>
      </c>
      <c r="AR614" t="s">
        <v>107</v>
      </c>
      <c r="AS614">
        <v>2017</v>
      </c>
      <c r="AT614">
        <f>(36.31840796+34.27135678)/2</f>
        <v>35.294882369999996</v>
      </c>
      <c r="AU614">
        <f>(0.24193548+0.24096386)/2</f>
        <v>0.24144967000000001</v>
      </c>
      <c r="AV614">
        <v>60</v>
      </c>
      <c r="AW614" t="s">
        <v>108</v>
      </c>
      <c r="AY614" t="s">
        <v>134</v>
      </c>
      <c r="AZ614" t="s">
        <v>109</v>
      </c>
      <c r="BA614" t="s">
        <v>180</v>
      </c>
      <c r="BB614">
        <v>12.4</v>
      </c>
      <c r="BC614">
        <v>15</v>
      </c>
      <c r="BD614">
        <v>0.2</v>
      </c>
      <c r="BE614" t="s">
        <v>139</v>
      </c>
      <c r="BF614">
        <f>(11+9)/2</f>
        <v>10</v>
      </c>
      <c r="BG614">
        <f t="shared" si="27"/>
        <v>0.125</v>
      </c>
      <c r="BP614">
        <v>12</v>
      </c>
      <c r="BS614" t="s">
        <v>265</v>
      </c>
      <c r="BU614" t="s">
        <v>1360</v>
      </c>
      <c r="BV614">
        <v>30.282640000000001</v>
      </c>
      <c r="BW614">
        <v>0.34578550000000002</v>
      </c>
      <c r="BX614">
        <v>10</v>
      </c>
      <c r="BY614">
        <v>30.41667</v>
      </c>
      <c r="BZ614">
        <v>0.60679669999999997</v>
      </c>
      <c r="CA614">
        <v>10</v>
      </c>
      <c r="CB614" t="s">
        <v>113</v>
      </c>
      <c r="CC614" t="s">
        <v>319</v>
      </c>
    </row>
    <row r="615" spans="1:81" x14ac:dyDescent="0.25">
      <c r="A615" t="s">
        <v>81</v>
      </c>
      <c r="B615">
        <v>614</v>
      </c>
      <c r="C615">
        <v>121</v>
      </c>
      <c r="D615">
        <v>81</v>
      </c>
      <c r="E615">
        <v>124</v>
      </c>
      <c r="F615">
        <v>127</v>
      </c>
      <c r="G615">
        <v>359</v>
      </c>
      <c r="H615">
        <v>504</v>
      </c>
      <c r="I615" t="s">
        <v>1348</v>
      </c>
      <c r="J615" t="s">
        <v>1349</v>
      </c>
      <c r="L615" t="s">
        <v>1350</v>
      </c>
      <c r="M615" t="s">
        <v>85</v>
      </c>
      <c r="O615" t="s">
        <v>250</v>
      </c>
      <c r="P615" t="s">
        <v>1351</v>
      </c>
      <c r="Q615" t="s">
        <v>1352</v>
      </c>
      <c r="R615">
        <v>2019</v>
      </c>
      <c r="S615" t="s">
        <v>253</v>
      </c>
      <c r="V615" t="s">
        <v>1353</v>
      </c>
      <c r="W615" t="s">
        <v>91</v>
      </c>
      <c r="X615" t="s">
        <v>126</v>
      </c>
      <c r="Y615" t="s">
        <v>292</v>
      </c>
      <c r="Z615" t="s">
        <v>293</v>
      </c>
      <c r="AA615" t="s">
        <v>294</v>
      </c>
      <c r="AB615" t="s">
        <v>1354</v>
      </c>
      <c r="AC615" t="s">
        <v>1355</v>
      </c>
      <c r="AD615" t="s">
        <v>132</v>
      </c>
      <c r="AE615" t="s">
        <v>133</v>
      </c>
      <c r="AF615" t="s">
        <v>100</v>
      </c>
      <c r="AG615" t="s">
        <v>101</v>
      </c>
      <c r="AH615" t="s">
        <v>102</v>
      </c>
      <c r="AI615" t="s">
        <v>103</v>
      </c>
      <c r="AJ615" t="s">
        <v>104</v>
      </c>
      <c r="AK615">
        <v>60</v>
      </c>
      <c r="AL615">
        <v>14.9</v>
      </c>
      <c r="AM615" t="s">
        <v>105</v>
      </c>
      <c r="AN615" t="s">
        <v>106</v>
      </c>
      <c r="AR615" t="s">
        <v>107</v>
      </c>
      <c r="AS615">
        <v>2017</v>
      </c>
      <c r="AT615">
        <f>(34.27135678+35.09803922)/2</f>
        <v>34.684697999999997</v>
      </c>
      <c r="AU615">
        <f>(0.24096386+0.24)/2</f>
        <v>0.24048193000000001</v>
      </c>
      <c r="AV615">
        <v>60</v>
      </c>
      <c r="AW615" t="s">
        <v>108</v>
      </c>
      <c r="AY615" t="s">
        <v>134</v>
      </c>
      <c r="AZ615" t="s">
        <v>109</v>
      </c>
      <c r="BA615" t="s">
        <v>180</v>
      </c>
      <c r="BB615">
        <v>15</v>
      </c>
      <c r="BC615">
        <v>17.8</v>
      </c>
      <c r="BD615">
        <v>0.3</v>
      </c>
      <c r="BE615" t="s">
        <v>139</v>
      </c>
      <c r="BF615">
        <f>(9+7)/2</f>
        <v>8</v>
      </c>
      <c r="BG615">
        <f t="shared" si="27"/>
        <v>0.125</v>
      </c>
      <c r="BP615">
        <v>12</v>
      </c>
      <c r="BS615" t="s">
        <v>265</v>
      </c>
      <c r="BU615" t="s">
        <v>1360</v>
      </c>
      <c r="BV615">
        <v>30.41667</v>
      </c>
      <c r="BW615">
        <v>0.60679669999999997</v>
      </c>
      <c r="BX615">
        <v>10</v>
      </c>
      <c r="BY615">
        <v>30.115130000000001</v>
      </c>
      <c r="BZ615">
        <v>0.57565789999999994</v>
      </c>
      <c r="CA615">
        <v>9</v>
      </c>
      <c r="CB615" t="s">
        <v>113</v>
      </c>
      <c r="CC615" t="s">
        <v>319</v>
      </c>
    </row>
    <row r="616" spans="1:81" x14ac:dyDescent="0.25">
      <c r="A616" t="s">
        <v>81</v>
      </c>
      <c r="B616">
        <v>615</v>
      </c>
      <c r="C616">
        <v>121</v>
      </c>
      <c r="D616">
        <v>81</v>
      </c>
      <c r="E616">
        <v>124</v>
      </c>
      <c r="F616">
        <v>127</v>
      </c>
      <c r="G616">
        <v>360</v>
      </c>
      <c r="H616">
        <v>505</v>
      </c>
      <c r="I616" t="s">
        <v>1348</v>
      </c>
      <c r="J616" t="s">
        <v>1349</v>
      </c>
      <c r="L616" t="s">
        <v>1350</v>
      </c>
      <c r="M616" t="s">
        <v>85</v>
      </c>
      <c r="O616" t="s">
        <v>250</v>
      </c>
      <c r="P616" t="s">
        <v>1351</v>
      </c>
      <c r="Q616" t="s">
        <v>1352</v>
      </c>
      <c r="R616">
        <v>2019</v>
      </c>
      <c r="S616" t="s">
        <v>253</v>
      </c>
      <c r="V616" t="s">
        <v>1353</v>
      </c>
      <c r="W616" t="s">
        <v>91</v>
      </c>
      <c r="X616" t="s">
        <v>126</v>
      </c>
      <c r="Y616" t="s">
        <v>292</v>
      </c>
      <c r="Z616" t="s">
        <v>293</v>
      </c>
      <c r="AA616" t="s">
        <v>294</v>
      </c>
      <c r="AB616" t="s">
        <v>1354</v>
      </c>
      <c r="AC616" t="s">
        <v>1355</v>
      </c>
      <c r="AD616" t="s">
        <v>132</v>
      </c>
      <c r="AE616" t="s">
        <v>133</v>
      </c>
      <c r="AF616" t="s">
        <v>100</v>
      </c>
      <c r="AG616" t="s">
        <v>101</v>
      </c>
      <c r="AH616" t="s">
        <v>102</v>
      </c>
      <c r="AI616" t="s">
        <v>103</v>
      </c>
      <c r="AJ616" t="s">
        <v>104</v>
      </c>
      <c r="AK616">
        <v>70</v>
      </c>
      <c r="AL616">
        <v>14.9</v>
      </c>
      <c r="AM616" t="s">
        <v>105</v>
      </c>
      <c r="AN616" t="s">
        <v>106</v>
      </c>
      <c r="AR616" t="s">
        <v>107</v>
      </c>
      <c r="AS616">
        <v>2017</v>
      </c>
      <c r="AT616">
        <f>(42.28855721+41.70854271)/2</f>
        <v>41.998549960000005</v>
      </c>
      <c r="AU616">
        <f>(0.36290323+0.37951807)/2</f>
        <v>0.37121064999999998</v>
      </c>
      <c r="AV616">
        <v>70</v>
      </c>
      <c r="AW616" t="s">
        <v>108</v>
      </c>
      <c r="AY616" t="s">
        <v>134</v>
      </c>
      <c r="AZ616" t="s">
        <v>109</v>
      </c>
      <c r="BA616" t="s">
        <v>180</v>
      </c>
      <c r="BB616">
        <v>12.4</v>
      </c>
      <c r="BC616">
        <v>15</v>
      </c>
      <c r="BD616">
        <v>0.2</v>
      </c>
      <c r="BE616" t="s">
        <v>139</v>
      </c>
      <c r="BF616">
        <f>(11+9)/2</f>
        <v>10</v>
      </c>
      <c r="BG616">
        <f t="shared" si="27"/>
        <v>0.125</v>
      </c>
      <c r="BP616">
        <v>12</v>
      </c>
      <c r="BS616" t="s">
        <v>265</v>
      </c>
      <c r="BU616" t="s">
        <v>1360</v>
      </c>
      <c r="BV616">
        <v>30.610679999999999</v>
      </c>
      <c r="BW616">
        <v>0.34578550000000002</v>
      </c>
      <c r="BX616">
        <v>10</v>
      </c>
      <c r="BY616">
        <v>30.635960000000001</v>
      </c>
      <c r="BZ616">
        <v>0.52011149999999995</v>
      </c>
      <c r="CA616">
        <v>10</v>
      </c>
      <c r="CB616" t="s">
        <v>113</v>
      </c>
      <c r="CC616" t="s">
        <v>319</v>
      </c>
    </row>
    <row r="617" spans="1:81" x14ac:dyDescent="0.25">
      <c r="A617" t="s">
        <v>81</v>
      </c>
      <c r="B617">
        <v>616</v>
      </c>
      <c r="C617">
        <v>121</v>
      </c>
      <c r="D617">
        <v>81</v>
      </c>
      <c r="E617">
        <v>124</v>
      </c>
      <c r="F617">
        <v>127</v>
      </c>
      <c r="G617">
        <v>360</v>
      </c>
      <c r="H617">
        <v>506</v>
      </c>
      <c r="I617" t="s">
        <v>1348</v>
      </c>
      <c r="J617" t="s">
        <v>1349</v>
      </c>
      <c r="L617" t="s">
        <v>1350</v>
      </c>
      <c r="M617" t="s">
        <v>85</v>
      </c>
      <c r="O617" t="s">
        <v>250</v>
      </c>
      <c r="P617" t="s">
        <v>1351</v>
      </c>
      <c r="Q617" t="s">
        <v>1352</v>
      </c>
      <c r="R617">
        <v>2019</v>
      </c>
      <c r="S617" t="s">
        <v>253</v>
      </c>
      <c r="V617" t="s">
        <v>1353</v>
      </c>
      <c r="W617" t="s">
        <v>91</v>
      </c>
      <c r="X617" t="s">
        <v>126</v>
      </c>
      <c r="Y617" t="s">
        <v>292</v>
      </c>
      <c r="Z617" t="s">
        <v>293</v>
      </c>
      <c r="AA617" t="s">
        <v>294</v>
      </c>
      <c r="AB617" t="s">
        <v>1354</v>
      </c>
      <c r="AC617" t="s">
        <v>1355</v>
      </c>
      <c r="AD617" t="s">
        <v>132</v>
      </c>
      <c r="AE617" t="s">
        <v>133</v>
      </c>
      <c r="AF617" t="s">
        <v>100</v>
      </c>
      <c r="AG617" t="s">
        <v>101</v>
      </c>
      <c r="AH617" t="s">
        <v>102</v>
      </c>
      <c r="AI617" t="s">
        <v>103</v>
      </c>
      <c r="AJ617" t="s">
        <v>104</v>
      </c>
      <c r="AK617">
        <v>70</v>
      </c>
      <c r="AL617">
        <v>14.9</v>
      </c>
      <c r="AM617" t="s">
        <v>105</v>
      </c>
      <c r="AN617" t="s">
        <v>106</v>
      </c>
      <c r="AR617" t="s">
        <v>107</v>
      </c>
      <c r="AS617">
        <v>2017</v>
      </c>
      <c r="AT617">
        <f>(41.70854271+40.58823529)/2</f>
        <v>41.148389000000002</v>
      </c>
      <c r="AU617">
        <f>(0.37951807+0.366)/2</f>
        <v>0.37275903499999996</v>
      </c>
      <c r="AV617">
        <v>70</v>
      </c>
      <c r="AW617" t="s">
        <v>108</v>
      </c>
      <c r="AY617" t="s">
        <v>134</v>
      </c>
      <c r="AZ617" t="s">
        <v>109</v>
      </c>
      <c r="BA617" t="s">
        <v>180</v>
      </c>
      <c r="BB617">
        <v>15</v>
      </c>
      <c r="BC617">
        <v>17.8</v>
      </c>
      <c r="BD617">
        <v>0.3</v>
      </c>
      <c r="BE617" t="s">
        <v>139</v>
      </c>
      <c r="BF617">
        <f>(9+7)/2</f>
        <v>8</v>
      </c>
      <c r="BG617">
        <f t="shared" si="27"/>
        <v>0.125</v>
      </c>
      <c r="BP617">
        <v>12</v>
      </c>
      <c r="BS617" t="s">
        <v>265</v>
      </c>
      <c r="BU617" t="s">
        <v>1360</v>
      </c>
      <c r="BV617">
        <v>30.635960000000001</v>
      </c>
      <c r="BW617">
        <v>0.52011149999999995</v>
      </c>
      <c r="BX617">
        <v>10</v>
      </c>
      <c r="BY617">
        <v>30.745609999999999</v>
      </c>
      <c r="BZ617">
        <v>0.52011149999999995</v>
      </c>
      <c r="CA617">
        <v>10</v>
      </c>
      <c r="CB617" t="s">
        <v>113</v>
      </c>
      <c r="CC617" t="s">
        <v>319</v>
      </c>
    </row>
    <row r="618" spans="1:81" x14ac:dyDescent="0.25">
      <c r="A618" t="s">
        <v>81</v>
      </c>
      <c r="B618">
        <v>617</v>
      </c>
      <c r="C618">
        <v>121</v>
      </c>
      <c r="D618">
        <v>81</v>
      </c>
      <c r="E618">
        <v>124</v>
      </c>
      <c r="F618">
        <v>127</v>
      </c>
      <c r="G618">
        <v>361</v>
      </c>
      <c r="H618">
        <v>507</v>
      </c>
      <c r="I618" t="s">
        <v>1348</v>
      </c>
      <c r="J618" t="s">
        <v>1349</v>
      </c>
      <c r="L618" t="s">
        <v>1350</v>
      </c>
      <c r="M618" t="s">
        <v>85</v>
      </c>
      <c r="O618" t="s">
        <v>250</v>
      </c>
      <c r="P618" t="s">
        <v>1351</v>
      </c>
      <c r="Q618" t="s">
        <v>1352</v>
      </c>
      <c r="R618">
        <v>2019</v>
      </c>
      <c r="S618" t="s">
        <v>253</v>
      </c>
      <c r="V618" t="s">
        <v>1353</v>
      </c>
      <c r="W618" t="s">
        <v>91</v>
      </c>
      <c r="X618" t="s">
        <v>126</v>
      </c>
      <c r="Y618" t="s">
        <v>292</v>
      </c>
      <c r="Z618" t="s">
        <v>293</v>
      </c>
      <c r="AA618" t="s">
        <v>294</v>
      </c>
      <c r="AB618" t="s">
        <v>1354</v>
      </c>
      <c r="AC618" t="s">
        <v>1355</v>
      </c>
      <c r="AD618" t="s">
        <v>132</v>
      </c>
      <c r="AE618" t="s">
        <v>133</v>
      </c>
      <c r="AF618" t="s">
        <v>100</v>
      </c>
      <c r="AG618" t="s">
        <v>101</v>
      </c>
      <c r="AH618" t="s">
        <v>102</v>
      </c>
      <c r="AI618" t="s">
        <v>103</v>
      </c>
      <c r="AJ618" t="s">
        <v>104</v>
      </c>
      <c r="AK618">
        <v>80</v>
      </c>
      <c r="AL618">
        <v>14.9</v>
      </c>
      <c r="AM618" t="s">
        <v>105</v>
      </c>
      <c r="AN618" t="s">
        <v>106</v>
      </c>
      <c r="AR618" t="s">
        <v>107</v>
      </c>
      <c r="AS618">
        <v>2017</v>
      </c>
      <c r="AT618">
        <f>(54.02985075+50.35175879)/2</f>
        <v>52.19080477</v>
      </c>
      <c r="AU618">
        <f>(0.81653226+0.70481928)/2</f>
        <v>0.76067576999999997</v>
      </c>
      <c r="AV618">
        <v>80</v>
      </c>
      <c r="AW618" t="s">
        <v>108</v>
      </c>
      <c r="AY618" t="s">
        <v>134</v>
      </c>
      <c r="AZ618" t="s">
        <v>109</v>
      </c>
      <c r="BA618" t="s">
        <v>180</v>
      </c>
      <c r="BB618">
        <v>12.4</v>
      </c>
      <c r="BC618">
        <v>15</v>
      </c>
      <c r="BD618">
        <v>0.2</v>
      </c>
      <c r="BE618" t="s">
        <v>139</v>
      </c>
      <c r="BF618">
        <f>(11+9)/2</f>
        <v>10</v>
      </c>
      <c r="BG618">
        <f t="shared" si="27"/>
        <v>0.125</v>
      </c>
      <c r="BP618">
        <v>12</v>
      </c>
      <c r="BS618" t="s">
        <v>265</v>
      </c>
      <c r="BU618" t="s">
        <v>1360</v>
      </c>
      <c r="BV618">
        <v>30.66535</v>
      </c>
      <c r="BW618">
        <v>0.49206149999999999</v>
      </c>
      <c r="BX618">
        <v>9</v>
      </c>
      <c r="BY618">
        <v>30.800439999999998</v>
      </c>
      <c r="BZ618">
        <v>0.52011149999999995</v>
      </c>
      <c r="CA618">
        <v>10</v>
      </c>
      <c r="CB618" t="s">
        <v>113</v>
      </c>
      <c r="CC618" t="s">
        <v>319</v>
      </c>
    </row>
    <row r="619" spans="1:81" x14ac:dyDescent="0.25">
      <c r="A619" t="s">
        <v>81</v>
      </c>
      <c r="B619">
        <v>618</v>
      </c>
      <c r="C619">
        <v>121</v>
      </c>
      <c r="D619">
        <v>81</v>
      </c>
      <c r="E619">
        <v>124</v>
      </c>
      <c r="F619">
        <v>127</v>
      </c>
      <c r="G619">
        <v>361</v>
      </c>
      <c r="H619">
        <v>508</v>
      </c>
      <c r="I619" t="s">
        <v>1348</v>
      </c>
      <c r="J619" t="s">
        <v>1349</v>
      </c>
      <c r="L619" t="s">
        <v>1350</v>
      </c>
      <c r="M619" t="s">
        <v>85</v>
      </c>
      <c r="O619" t="s">
        <v>250</v>
      </c>
      <c r="P619" t="s">
        <v>1351</v>
      </c>
      <c r="Q619" t="s">
        <v>1352</v>
      </c>
      <c r="R619">
        <v>2019</v>
      </c>
      <c r="S619" t="s">
        <v>253</v>
      </c>
      <c r="V619" t="s">
        <v>1353</v>
      </c>
      <c r="W619" t="s">
        <v>91</v>
      </c>
      <c r="X619" t="s">
        <v>126</v>
      </c>
      <c r="Y619" t="s">
        <v>292</v>
      </c>
      <c r="Z619" t="s">
        <v>293</v>
      </c>
      <c r="AA619" t="s">
        <v>294</v>
      </c>
      <c r="AB619" t="s">
        <v>1354</v>
      </c>
      <c r="AC619" t="s">
        <v>1355</v>
      </c>
      <c r="AD619" t="s">
        <v>132</v>
      </c>
      <c r="AE619" t="s">
        <v>133</v>
      </c>
      <c r="AF619" t="s">
        <v>100</v>
      </c>
      <c r="AG619" t="s">
        <v>101</v>
      </c>
      <c r="AH619" t="s">
        <v>102</v>
      </c>
      <c r="AI619" t="s">
        <v>103</v>
      </c>
      <c r="AJ619" t="s">
        <v>104</v>
      </c>
      <c r="AK619">
        <v>80</v>
      </c>
      <c r="AL619">
        <v>14.9</v>
      </c>
      <c r="AM619" t="s">
        <v>105</v>
      </c>
      <c r="AN619" t="s">
        <v>106</v>
      </c>
      <c r="AR619" t="s">
        <v>107</v>
      </c>
      <c r="AS619">
        <v>2017</v>
      </c>
      <c r="AT619">
        <f>(50.35175879+49.60784314)/2</f>
        <v>49.979800964999995</v>
      </c>
      <c r="AU619">
        <f>(0.70481928+0.63)/2</f>
        <v>0.66740964000000003</v>
      </c>
      <c r="AV619">
        <v>80</v>
      </c>
      <c r="AW619" t="s">
        <v>108</v>
      </c>
      <c r="AY619" t="s">
        <v>134</v>
      </c>
      <c r="AZ619" t="s">
        <v>109</v>
      </c>
      <c r="BA619" t="s">
        <v>180</v>
      </c>
      <c r="BB619">
        <v>15</v>
      </c>
      <c r="BC619">
        <v>17.8</v>
      </c>
      <c r="BD619">
        <v>0.3</v>
      </c>
      <c r="BE619" t="s">
        <v>139</v>
      </c>
      <c r="BF619">
        <f>(9+7)/2</f>
        <v>8</v>
      </c>
      <c r="BG619">
        <f t="shared" si="27"/>
        <v>0.125</v>
      </c>
      <c r="BP619">
        <v>12</v>
      </c>
      <c r="BS619" t="s">
        <v>265</v>
      </c>
      <c r="BU619" t="s">
        <v>1360</v>
      </c>
      <c r="BV619">
        <v>30.800439999999998</v>
      </c>
      <c r="BW619">
        <v>0.52011149999999995</v>
      </c>
      <c r="BX619">
        <v>10</v>
      </c>
      <c r="BY619">
        <v>30.334430000000001</v>
      </c>
      <c r="BZ619">
        <v>0.86685239999999997</v>
      </c>
      <c r="CA619">
        <v>10</v>
      </c>
      <c r="CB619" t="s">
        <v>113</v>
      </c>
      <c r="CC619" t="s">
        <v>319</v>
      </c>
    </row>
    <row r="620" spans="1:81" x14ac:dyDescent="0.25">
      <c r="A620" t="s">
        <v>81</v>
      </c>
      <c r="B620">
        <v>619</v>
      </c>
      <c r="C620">
        <v>122</v>
      </c>
      <c r="D620">
        <v>3</v>
      </c>
      <c r="E620">
        <v>81</v>
      </c>
      <c r="F620">
        <v>86</v>
      </c>
      <c r="G620">
        <v>362</v>
      </c>
      <c r="H620">
        <v>509</v>
      </c>
      <c r="I620" t="s">
        <v>1361</v>
      </c>
      <c r="J620" t="s">
        <v>211</v>
      </c>
      <c r="M620" t="s">
        <v>85</v>
      </c>
      <c r="O620" t="s">
        <v>14</v>
      </c>
      <c r="P620" t="s">
        <v>1362</v>
      </c>
      <c r="Q620" t="s">
        <v>1363</v>
      </c>
      <c r="R620">
        <v>2012</v>
      </c>
      <c r="S620" t="s">
        <v>949</v>
      </c>
      <c r="U620" t="s">
        <v>1364</v>
      </c>
      <c r="V620" t="s">
        <v>1365</v>
      </c>
      <c r="W620" t="s">
        <v>170</v>
      </c>
      <c r="X620" t="s">
        <v>171</v>
      </c>
      <c r="Y620" t="s">
        <v>778</v>
      </c>
      <c r="Z620" t="s">
        <v>779</v>
      </c>
      <c r="AA620" t="s">
        <v>1041</v>
      </c>
      <c r="AB620" t="s">
        <v>1042</v>
      </c>
      <c r="AC620" t="s">
        <v>1043</v>
      </c>
      <c r="AD620" t="s">
        <v>98</v>
      </c>
      <c r="AE620" t="s">
        <v>177</v>
      </c>
      <c r="AF620" t="s">
        <v>260</v>
      </c>
      <c r="AG620" t="s">
        <v>261</v>
      </c>
      <c r="AH620" t="s">
        <v>102</v>
      </c>
      <c r="AI620" t="s">
        <v>134</v>
      </c>
      <c r="AJ620" t="s">
        <v>135</v>
      </c>
      <c r="AM620" t="s">
        <v>178</v>
      </c>
      <c r="AN620" t="s">
        <v>106</v>
      </c>
      <c r="AV620">
        <v>1</v>
      </c>
      <c r="AW620" t="s">
        <v>108</v>
      </c>
      <c r="AX620">
        <v>20</v>
      </c>
      <c r="AY620" t="s">
        <v>134</v>
      </c>
      <c r="AZ620" t="s">
        <v>212</v>
      </c>
      <c r="BA620" t="s">
        <v>142</v>
      </c>
      <c r="BB620">
        <v>10</v>
      </c>
      <c r="BC620">
        <v>20</v>
      </c>
      <c r="BD620">
        <v>0.5</v>
      </c>
      <c r="BE620" t="s">
        <v>139</v>
      </c>
      <c r="BG620">
        <v>0.1</v>
      </c>
      <c r="BH620">
        <f t="shared" ref="BH620:BH637" si="29">10/3600</f>
        <v>2.7777777777777779E-3</v>
      </c>
      <c r="BI620">
        <v>8</v>
      </c>
      <c r="BJ620">
        <v>6</v>
      </c>
      <c r="BK620">
        <v>10</v>
      </c>
      <c r="BP620">
        <v>16</v>
      </c>
      <c r="BS620" t="s">
        <v>230</v>
      </c>
      <c r="BT620" t="s">
        <v>1366</v>
      </c>
      <c r="BU620" t="s">
        <v>1367</v>
      </c>
      <c r="BV620">
        <v>42.1</v>
      </c>
      <c r="BW620">
        <v>0.1</v>
      </c>
      <c r="BX620">
        <v>48</v>
      </c>
      <c r="BY620">
        <v>41.8</v>
      </c>
      <c r="BZ620">
        <v>0.1</v>
      </c>
      <c r="CA620">
        <v>48</v>
      </c>
      <c r="CB620" t="s">
        <v>215</v>
      </c>
      <c r="CC620" t="s">
        <v>1368</v>
      </c>
    </row>
    <row r="621" spans="1:81" x14ac:dyDescent="0.25">
      <c r="A621" t="s">
        <v>81</v>
      </c>
      <c r="B621">
        <v>620</v>
      </c>
      <c r="C621">
        <v>122</v>
      </c>
      <c r="D621">
        <v>3</v>
      </c>
      <c r="E621">
        <v>81</v>
      </c>
      <c r="F621">
        <v>86</v>
      </c>
      <c r="G621">
        <v>362</v>
      </c>
      <c r="H621">
        <v>510</v>
      </c>
      <c r="I621" t="s">
        <v>1361</v>
      </c>
      <c r="J621" t="s">
        <v>211</v>
      </c>
      <c r="M621" t="s">
        <v>85</v>
      </c>
      <c r="O621" t="s">
        <v>14</v>
      </c>
      <c r="P621" t="s">
        <v>1362</v>
      </c>
      <c r="Q621" t="s">
        <v>1363</v>
      </c>
      <c r="R621">
        <v>2012</v>
      </c>
      <c r="S621" t="s">
        <v>949</v>
      </c>
      <c r="U621" t="s">
        <v>1364</v>
      </c>
      <c r="V621" t="s">
        <v>1365</v>
      </c>
      <c r="W621" t="s">
        <v>170</v>
      </c>
      <c r="X621" t="s">
        <v>171</v>
      </c>
      <c r="Y621" t="s">
        <v>778</v>
      </c>
      <c r="Z621" t="s">
        <v>779</v>
      </c>
      <c r="AA621" t="s">
        <v>1041</v>
      </c>
      <c r="AB621" t="s">
        <v>1042</v>
      </c>
      <c r="AC621" t="s">
        <v>1043</v>
      </c>
      <c r="AD621" t="s">
        <v>98</v>
      </c>
      <c r="AE621" t="s">
        <v>177</v>
      </c>
      <c r="AF621" t="s">
        <v>260</v>
      </c>
      <c r="AG621" t="s">
        <v>261</v>
      </c>
      <c r="AH621" t="s">
        <v>102</v>
      </c>
      <c r="AI621" t="s">
        <v>134</v>
      </c>
      <c r="AJ621" t="s">
        <v>135</v>
      </c>
      <c r="AM621" t="s">
        <v>178</v>
      </c>
      <c r="AN621" t="s">
        <v>106</v>
      </c>
      <c r="AV621">
        <v>1</v>
      </c>
      <c r="AW621" t="s">
        <v>108</v>
      </c>
      <c r="AX621">
        <v>20</v>
      </c>
      <c r="AY621" t="s">
        <v>134</v>
      </c>
      <c r="AZ621" t="s">
        <v>212</v>
      </c>
      <c r="BA621" t="s">
        <v>142</v>
      </c>
      <c r="BB621">
        <v>20</v>
      </c>
      <c r="BC621">
        <v>25</v>
      </c>
      <c r="BD621">
        <v>0.5</v>
      </c>
      <c r="BE621" t="s">
        <v>139</v>
      </c>
      <c r="BG621">
        <v>0.1</v>
      </c>
      <c r="BH621">
        <f t="shared" si="29"/>
        <v>2.7777777777777779E-3</v>
      </c>
      <c r="BI621">
        <v>8</v>
      </c>
      <c r="BJ621">
        <v>6</v>
      </c>
      <c r="BK621">
        <v>10</v>
      </c>
      <c r="BP621">
        <v>16</v>
      </c>
      <c r="BS621" t="s">
        <v>230</v>
      </c>
      <c r="BT621" t="s">
        <v>1366</v>
      </c>
      <c r="BU621" t="s">
        <v>1367</v>
      </c>
      <c r="BV621">
        <v>41.8</v>
      </c>
      <c r="BW621">
        <v>0.1</v>
      </c>
      <c r="BX621">
        <v>48</v>
      </c>
      <c r="BY621">
        <v>42.4</v>
      </c>
      <c r="BZ621">
        <v>0.1</v>
      </c>
      <c r="CA621">
        <v>48</v>
      </c>
      <c r="CB621" t="s">
        <v>215</v>
      </c>
      <c r="CC621" t="s">
        <v>1368</v>
      </c>
    </row>
    <row r="622" spans="1:81" x14ac:dyDescent="0.25">
      <c r="A622" t="s">
        <v>81</v>
      </c>
      <c r="B622">
        <v>621</v>
      </c>
      <c r="C622">
        <v>122</v>
      </c>
      <c r="D622">
        <v>3</v>
      </c>
      <c r="E622">
        <v>82</v>
      </c>
      <c r="F622">
        <v>87</v>
      </c>
      <c r="G622">
        <v>363</v>
      </c>
      <c r="H622">
        <v>511</v>
      </c>
      <c r="I622" t="s">
        <v>1361</v>
      </c>
      <c r="J622" t="s">
        <v>211</v>
      </c>
      <c r="M622" t="s">
        <v>85</v>
      </c>
      <c r="O622" t="s">
        <v>14</v>
      </c>
      <c r="P622" t="s">
        <v>1362</v>
      </c>
      <c r="Q622" t="s">
        <v>1363</v>
      </c>
      <c r="R622">
        <v>2012</v>
      </c>
      <c r="S622" t="s">
        <v>949</v>
      </c>
      <c r="U622" t="s">
        <v>1364</v>
      </c>
      <c r="V622" t="s">
        <v>1365</v>
      </c>
      <c r="W622" t="s">
        <v>170</v>
      </c>
      <c r="X622" t="s">
        <v>171</v>
      </c>
      <c r="Y622" t="s">
        <v>778</v>
      </c>
      <c r="Z622" t="s">
        <v>779</v>
      </c>
      <c r="AA622" t="s">
        <v>1041</v>
      </c>
      <c r="AB622" t="s">
        <v>1042</v>
      </c>
      <c r="AC622" t="s">
        <v>1043</v>
      </c>
      <c r="AD622" t="s">
        <v>98</v>
      </c>
      <c r="AE622" t="s">
        <v>177</v>
      </c>
      <c r="AF622" t="s">
        <v>260</v>
      </c>
      <c r="AG622" t="s">
        <v>261</v>
      </c>
      <c r="AH622" t="s">
        <v>102</v>
      </c>
      <c r="AI622" t="s">
        <v>134</v>
      </c>
      <c r="AJ622" t="s">
        <v>135</v>
      </c>
      <c r="AM622" t="s">
        <v>178</v>
      </c>
      <c r="AN622" t="s">
        <v>106</v>
      </c>
      <c r="AV622">
        <v>1</v>
      </c>
      <c r="AW622" t="s">
        <v>108</v>
      </c>
      <c r="AX622">
        <v>20</v>
      </c>
      <c r="AY622" t="s">
        <v>134</v>
      </c>
      <c r="AZ622" t="s">
        <v>212</v>
      </c>
      <c r="BA622" t="s">
        <v>142</v>
      </c>
      <c r="BB622">
        <v>10</v>
      </c>
      <c r="BC622">
        <v>20</v>
      </c>
      <c r="BD622">
        <v>0.5</v>
      </c>
      <c r="BE622" t="s">
        <v>139</v>
      </c>
      <c r="BG622">
        <v>0.1</v>
      </c>
      <c r="BH622">
        <f t="shared" si="29"/>
        <v>2.7777777777777779E-3</v>
      </c>
      <c r="BI622">
        <v>8</v>
      </c>
      <c r="BJ622">
        <v>6</v>
      </c>
      <c r="BK622">
        <v>10</v>
      </c>
      <c r="BP622">
        <v>16</v>
      </c>
      <c r="BS622" t="s">
        <v>230</v>
      </c>
      <c r="BT622" t="s">
        <v>1366</v>
      </c>
      <c r="BU622" t="s">
        <v>1369</v>
      </c>
      <c r="BV622">
        <v>42</v>
      </c>
      <c r="BW622">
        <v>0.1</v>
      </c>
      <c r="BX622">
        <v>48</v>
      </c>
      <c r="BY622">
        <v>41.8</v>
      </c>
      <c r="BZ622">
        <v>0.1</v>
      </c>
      <c r="CA622">
        <v>48</v>
      </c>
      <c r="CB622" t="s">
        <v>215</v>
      </c>
      <c r="CC622" t="s">
        <v>1368</v>
      </c>
    </row>
    <row r="623" spans="1:81" x14ac:dyDescent="0.25">
      <c r="A623" t="s">
        <v>81</v>
      </c>
      <c r="B623">
        <v>622</v>
      </c>
      <c r="C623">
        <v>122</v>
      </c>
      <c r="D623">
        <v>3</v>
      </c>
      <c r="E623">
        <v>82</v>
      </c>
      <c r="F623">
        <v>87</v>
      </c>
      <c r="G623">
        <v>363</v>
      </c>
      <c r="H623">
        <v>512</v>
      </c>
      <c r="I623" t="s">
        <v>1361</v>
      </c>
      <c r="J623" t="s">
        <v>211</v>
      </c>
      <c r="M623" t="s">
        <v>85</v>
      </c>
      <c r="O623" t="s">
        <v>14</v>
      </c>
      <c r="P623" t="s">
        <v>1362</v>
      </c>
      <c r="Q623" t="s">
        <v>1363</v>
      </c>
      <c r="R623">
        <v>2012</v>
      </c>
      <c r="S623" t="s">
        <v>949</v>
      </c>
      <c r="U623" t="s">
        <v>1364</v>
      </c>
      <c r="V623" t="s">
        <v>1365</v>
      </c>
      <c r="W623" t="s">
        <v>170</v>
      </c>
      <c r="X623" t="s">
        <v>171</v>
      </c>
      <c r="Y623" t="s">
        <v>778</v>
      </c>
      <c r="Z623" t="s">
        <v>779</v>
      </c>
      <c r="AA623" t="s">
        <v>1041</v>
      </c>
      <c r="AB623" t="s">
        <v>1042</v>
      </c>
      <c r="AC623" t="s">
        <v>1043</v>
      </c>
      <c r="AD623" t="s">
        <v>98</v>
      </c>
      <c r="AE623" t="s">
        <v>177</v>
      </c>
      <c r="AF623" t="s">
        <v>260</v>
      </c>
      <c r="AG623" t="s">
        <v>261</v>
      </c>
      <c r="AH623" t="s">
        <v>102</v>
      </c>
      <c r="AI623" t="s">
        <v>134</v>
      </c>
      <c r="AJ623" t="s">
        <v>135</v>
      </c>
      <c r="AM623" t="s">
        <v>178</v>
      </c>
      <c r="AN623" t="s">
        <v>106</v>
      </c>
      <c r="AV623">
        <v>1</v>
      </c>
      <c r="AW623" t="s">
        <v>108</v>
      </c>
      <c r="AX623">
        <v>20</v>
      </c>
      <c r="AY623" t="s">
        <v>134</v>
      </c>
      <c r="AZ623" t="s">
        <v>212</v>
      </c>
      <c r="BA623" t="s">
        <v>142</v>
      </c>
      <c r="BB623">
        <v>20</v>
      </c>
      <c r="BC623">
        <v>25</v>
      </c>
      <c r="BD623">
        <v>0.5</v>
      </c>
      <c r="BE623" t="s">
        <v>139</v>
      </c>
      <c r="BG623">
        <v>0.1</v>
      </c>
      <c r="BH623">
        <f t="shared" si="29"/>
        <v>2.7777777777777779E-3</v>
      </c>
      <c r="BI623">
        <v>8</v>
      </c>
      <c r="BJ623">
        <v>6</v>
      </c>
      <c r="BK623">
        <v>10</v>
      </c>
      <c r="BP623">
        <v>16</v>
      </c>
      <c r="BS623" t="s">
        <v>230</v>
      </c>
      <c r="BT623" t="s">
        <v>1366</v>
      </c>
      <c r="BU623" t="s">
        <v>1369</v>
      </c>
      <c r="BV623">
        <v>41.8</v>
      </c>
      <c r="BW623">
        <v>0.1</v>
      </c>
      <c r="BX623">
        <v>48</v>
      </c>
      <c r="BY623">
        <v>42.1</v>
      </c>
      <c r="BZ623">
        <v>0.1</v>
      </c>
      <c r="CA623">
        <v>48</v>
      </c>
      <c r="CB623" t="s">
        <v>215</v>
      </c>
      <c r="CC623" t="s">
        <v>1368</v>
      </c>
    </row>
    <row r="624" spans="1:81" x14ac:dyDescent="0.25">
      <c r="A624" t="s">
        <v>81</v>
      </c>
      <c r="B624">
        <v>623</v>
      </c>
      <c r="C624">
        <v>122</v>
      </c>
      <c r="D624">
        <v>3</v>
      </c>
      <c r="E624">
        <v>83</v>
      </c>
      <c r="F624">
        <v>88</v>
      </c>
      <c r="G624">
        <v>364</v>
      </c>
      <c r="H624">
        <v>513</v>
      </c>
      <c r="I624" t="s">
        <v>1361</v>
      </c>
      <c r="J624" t="s">
        <v>211</v>
      </c>
      <c r="M624" t="s">
        <v>85</v>
      </c>
      <c r="O624" t="s">
        <v>14</v>
      </c>
      <c r="P624" t="s">
        <v>1362</v>
      </c>
      <c r="Q624" t="s">
        <v>1363</v>
      </c>
      <c r="R624">
        <v>2012</v>
      </c>
      <c r="S624" t="s">
        <v>949</v>
      </c>
      <c r="U624" t="s">
        <v>1364</v>
      </c>
      <c r="V624" t="s">
        <v>1365</v>
      </c>
      <c r="W624" t="s">
        <v>170</v>
      </c>
      <c r="X624" t="s">
        <v>171</v>
      </c>
      <c r="Y624" t="s">
        <v>778</v>
      </c>
      <c r="Z624" t="s">
        <v>779</v>
      </c>
      <c r="AA624" t="s">
        <v>1041</v>
      </c>
      <c r="AB624" t="s">
        <v>1042</v>
      </c>
      <c r="AC624" t="s">
        <v>1043</v>
      </c>
      <c r="AD624" t="s">
        <v>98</v>
      </c>
      <c r="AE624" t="s">
        <v>177</v>
      </c>
      <c r="AF624" t="s">
        <v>260</v>
      </c>
      <c r="AG624" t="s">
        <v>261</v>
      </c>
      <c r="AH624" t="s">
        <v>102</v>
      </c>
      <c r="AI624" t="s">
        <v>134</v>
      </c>
      <c r="AJ624" t="s">
        <v>135</v>
      </c>
      <c r="AM624" t="s">
        <v>178</v>
      </c>
      <c r="AN624" t="s">
        <v>106</v>
      </c>
      <c r="AV624">
        <v>1</v>
      </c>
      <c r="AW624" t="s">
        <v>108</v>
      </c>
      <c r="AX624">
        <v>20</v>
      </c>
      <c r="AY624" t="s">
        <v>134</v>
      </c>
      <c r="AZ624" t="s">
        <v>212</v>
      </c>
      <c r="BA624" t="s">
        <v>142</v>
      </c>
      <c r="BB624">
        <v>10</v>
      </c>
      <c r="BC624">
        <v>20</v>
      </c>
      <c r="BD624">
        <v>0.5</v>
      </c>
      <c r="BE624" t="s">
        <v>139</v>
      </c>
      <c r="BG624">
        <v>0.1</v>
      </c>
      <c r="BH624">
        <f t="shared" si="29"/>
        <v>2.7777777777777779E-3</v>
      </c>
      <c r="BI624">
        <v>8</v>
      </c>
      <c r="BJ624">
        <v>6</v>
      </c>
      <c r="BK624">
        <v>10</v>
      </c>
      <c r="BP624">
        <v>16</v>
      </c>
      <c r="BS624" t="s">
        <v>230</v>
      </c>
      <c r="BT624" t="s">
        <v>1366</v>
      </c>
      <c r="BU624" t="s">
        <v>1370</v>
      </c>
      <c r="BV624">
        <v>42.1</v>
      </c>
      <c r="BW624">
        <v>0.1</v>
      </c>
      <c r="BX624">
        <v>48</v>
      </c>
      <c r="BY624">
        <v>42.1</v>
      </c>
      <c r="BZ624">
        <v>0.1</v>
      </c>
      <c r="CA624">
        <v>48</v>
      </c>
      <c r="CB624" t="s">
        <v>215</v>
      </c>
      <c r="CC624" t="s">
        <v>1368</v>
      </c>
    </row>
    <row r="625" spans="1:81" x14ac:dyDescent="0.25">
      <c r="A625" t="s">
        <v>81</v>
      </c>
      <c r="B625">
        <v>624</v>
      </c>
      <c r="C625">
        <v>122</v>
      </c>
      <c r="D625">
        <v>3</v>
      </c>
      <c r="E625">
        <v>83</v>
      </c>
      <c r="F625">
        <v>88</v>
      </c>
      <c r="G625">
        <v>364</v>
      </c>
      <c r="H625">
        <v>514</v>
      </c>
      <c r="I625" t="s">
        <v>1361</v>
      </c>
      <c r="J625" t="s">
        <v>211</v>
      </c>
      <c r="M625" t="s">
        <v>85</v>
      </c>
      <c r="O625" t="s">
        <v>14</v>
      </c>
      <c r="P625" t="s">
        <v>1362</v>
      </c>
      <c r="Q625" t="s">
        <v>1363</v>
      </c>
      <c r="R625">
        <v>2012</v>
      </c>
      <c r="S625" t="s">
        <v>949</v>
      </c>
      <c r="U625" t="s">
        <v>1364</v>
      </c>
      <c r="V625" t="s">
        <v>1365</v>
      </c>
      <c r="W625" t="s">
        <v>170</v>
      </c>
      <c r="X625" t="s">
        <v>171</v>
      </c>
      <c r="Y625" t="s">
        <v>778</v>
      </c>
      <c r="Z625" t="s">
        <v>779</v>
      </c>
      <c r="AA625" t="s">
        <v>1041</v>
      </c>
      <c r="AB625" t="s">
        <v>1042</v>
      </c>
      <c r="AC625" t="s">
        <v>1043</v>
      </c>
      <c r="AD625" t="s">
        <v>98</v>
      </c>
      <c r="AE625" t="s">
        <v>177</v>
      </c>
      <c r="AF625" t="s">
        <v>260</v>
      </c>
      <c r="AG625" t="s">
        <v>261</v>
      </c>
      <c r="AH625" t="s">
        <v>102</v>
      </c>
      <c r="AI625" t="s">
        <v>134</v>
      </c>
      <c r="AJ625" t="s">
        <v>135</v>
      </c>
      <c r="AM625" t="s">
        <v>178</v>
      </c>
      <c r="AN625" t="s">
        <v>106</v>
      </c>
      <c r="AV625">
        <v>1</v>
      </c>
      <c r="AW625" t="s">
        <v>108</v>
      </c>
      <c r="AX625">
        <v>20</v>
      </c>
      <c r="AY625" t="s">
        <v>134</v>
      </c>
      <c r="AZ625" t="s">
        <v>212</v>
      </c>
      <c r="BA625" t="s">
        <v>142</v>
      </c>
      <c r="BB625">
        <v>20</v>
      </c>
      <c r="BC625">
        <v>25</v>
      </c>
      <c r="BD625">
        <v>0.5</v>
      </c>
      <c r="BE625" t="s">
        <v>139</v>
      </c>
      <c r="BG625">
        <v>0.1</v>
      </c>
      <c r="BH625">
        <f t="shared" si="29"/>
        <v>2.7777777777777779E-3</v>
      </c>
      <c r="BI625">
        <v>8</v>
      </c>
      <c r="BJ625">
        <v>6</v>
      </c>
      <c r="BK625">
        <v>10</v>
      </c>
      <c r="BP625">
        <v>16</v>
      </c>
      <c r="BS625" t="s">
        <v>230</v>
      </c>
      <c r="BT625" t="s">
        <v>1366</v>
      </c>
      <c r="BU625" t="s">
        <v>1370</v>
      </c>
      <c r="BV625">
        <v>42.1</v>
      </c>
      <c r="BW625">
        <v>0.1</v>
      </c>
      <c r="BX625">
        <v>48</v>
      </c>
      <c r="BY625">
        <v>42</v>
      </c>
      <c r="BZ625">
        <v>0.1</v>
      </c>
      <c r="CA625">
        <v>48</v>
      </c>
      <c r="CB625" t="s">
        <v>215</v>
      </c>
      <c r="CC625" t="s">
        <v>1368</v>
      </c>
    </row>
    <row r="626" spans="1:81" x14ac:dyDescent="0.25">
      <c r="A626" t="s">
        <v>81</v>
      </c>
      <c r="B626">
        <v>625</v>
      </c>
      <c r="C626">
        <v>122</v>
      </c>
      <c r="D626">
        <v>3</v>
      </c>
      <c r="E626">
        <v>84</v>
      </c>
      <c r="F626">
        <v>89</v>
      </c>
      <c r="G626">
        <v>365</v>
      </c>
      <c r="H626">
        <v>515</v>
      </c>
      <c r="I626" t="s">
        <v>1361</v>
      </c>
      <c r="J626" t="s">
        <v>211</v>
      </c>
      <c r="M626" t="s">
        <v>85</v>
      </c>
      <c r="O626" t="s">
        <v>14</v>
      </c>
      <c r="P626" t="s">
        <v>1362</v>
      </c>
      <c r="Q626" t="s">
        <v>1363</v>
      </c>
      <c r="R626">
        <v>2012</v>
      </c>
      <c r="S626" t="s">
        <v>949</v>
      </c>
      <c r="U626" t="s">
        <v>1364</v>
      </c>
      <c r="V626" t="s">
        <v>1365</v>
      </c>
      <c r="W626" t="s">
        <v>170</v>
      </c>
      <c r="X626" t="s">
        <v>171</v>
      </c>
      <c r="Y626" t="s">
        <v>778</v>
      </c>
      <c r="Z626" t="s">
        <v>779</v>
      </c>
      <c r="AA626" t="s">
        <v>1041</v>
      </c>
      <c r="AB626" t="s">
        <v>1042</v>
      </c>
      <c r="AC626" t="s">
        <v>1043</v>
      </c>
      <c r="AD626" t="s">
        <v>98</v>
      </c>
      <c r="AE626" t="s">
        <v>177</v>
      </c>
      <c r="AF626" t="s">
        <v>260</v>
      </c>
      <c r="AG626" t="s">
        <v>261</v>
      </c>
      <c r="AH626" t="s">
        <v>102</v>
      </c>
      <c r="AI626" t="s">
        <v>134</v>
      </c>
      <c r="AJ626" t="s">
        <v>135</v>
      </c>
      <c r="AM626" t="s">
        <v>178</v>
      </c>
      <c r="AN626" t="s">
        <v>106</v>
      </c>
      <c r="AV626">
        <v>1</v>
      </c>
      <c r="AW626" t="s">
        <v>108</v>
      </c>
      <c r="AX626">
        <v>20</v>
      </c>
      <c r="AY626" t="s">
        <v>134</v>
      </c>
      <c r="AZ626" t="s">
        <v>212</v>
      </c>
      <c r="BA626" t="s">
        <v>142</v>
      </c>
      <c r="BB626">
        <v>10</v>
      </c>
      <c r="BC626">
        <v>20</v>
      </c>
      <c r="BD626">
        <v>0.5</v>
      </c>
      <c r="BE626" t="s">
        <v>139</v>
      </c>
      <c r="BG626">
        <v>0.1</v>
      </c>
      <c r="BH626">
        <f t="shared" si="29"/>
        <v>2.7777777777777779E-3</v>
      </c>
      <c r="BI626">
        <v>8</v>
      </c>
      <c r="BJ626">
        <v>6</v>
      </c>
      <c r="BK626">
        <v>10</v>
      </c>
      <c r="BP626">
        <v>16</v>
      </c>
      <c r="BS626" t="s">
        <v>230</v>
      </c>
      <c r="BT626" t="s">
        <v>1366</v>
      </c>
      <c r="BU626" t="s">
        <v>1371</v>
      </c>
      <c r="BV626">
        <v>41.9</v>
      </c>
      <c r="BW626">
        <v>0.1</v>
      </c>
      <c r="BX626">
        <v>48</v>
      </c>
      <c r="BY626">
        <v>41.8</v>
      </c>
      <c r="BZ626">
        <v>0.1</v>
      </c>
      <c r="CA626">
        <v>48</v>
      </c>
      <c r="CB626" t="s">
        <v>215</v>
      </c>
      <c r="CC626" t="s">
        <v>1368</v>
      </c>
    </row>
    <row r="627" spans="1:81" x14ac:dyDescent="0.25">
      <c r="A627" t="s">
        <v>81</v>
      </c>
      <c r="B627">
        <v>626</v>
      </c>
      <c r="C627">
        <v>122</v>
      </c>
      <c r="D627">
        <v>3</v>
      </c>
      <c r="E627">
        <v>84</v>
      </c>
      <c r="F627">
        <v>89</v>
      </c>
      <c r="G627">
        <v>365</v>
      </c>
      <c r="H627">
        <v>516</v>
      </c>
      <c r="I627" t="s">
        <v>1361</v>
      </c>
      <c r="J627" t="s">
        <v>211</v>
      </c>
      <c r="M627" t="s">
        <v>85</v>
      </c>
      <c r="O627" t="s">
        <v>14</v>
      </c>
      <c r="P627" t="s">
        <v>1362</v>
      </c>
      <c r="Q627" t="s">
        <v>1363</v>
      </c>
      <c r="R627">
        <v>2012</v>
      </c>
      <c r="S627" t="s">
        <v>949</v>
      </c>
      <c r="U627" t="s">
        <v>1364</v>
      </c>
      <c r="V627" t="s">
        <v>1365</v>
      </c>
      <c r="W627" t="s">
        <v>170</v>
      </c>
      <c r="X627" t="s">
        <v>171</v>
      </c>
      <c r="Y627" t="s">
        <v>778</v>
      </c>
      <c r="Z627" t="s">
        <v>779</v>
      </c>
      <c r="AA627" t="s">
        <v>1041</v>
      </c>
      <c r="AB627" t="s">
        <v>1042</v>
      </c>
      <c r="AC627" t="s">
        <v>1043</v>
      </c>
      <c r="AD627" t="s">
        <v>98</v>
      </c>
      <c r="AE627" t="s">
        <v>177</v>
      </c>
      <c r="AF627" t="s">
        <v>260</v>
      </c>
      <c r="AG627" t="s">
        <v>261</v>
      </c>
      <c r="AH627" t="s">
        <v>102</v>
      </c>
      <c r="AI627" t="s">
        <v>134</v>
      </c>
      <c r="AJ627" t="s">
        <v>135</v>
      </c>
      <c r="AM627" t="s">
        <v>178</v>
      </c>
      <c r="AN627" t="s">
        <v>106</v>
      </c>
      <c r="AV627">
        <v>1</v>
      </c>
      <c r="AW627" t="s">
        <v>108</v>
      </c>
      <c r="AX627">
        <v>20</v>
      </c>
      <c r="AY627" t="s">
        <v>134</v>
      </c>
      <c r="AZ627" t="s">
        <v>212</v>
      </c>
      <c r="BA627" t="s">
        <v>142</v>
      </c>
      <c r="BB627">
        <v>20</v>
      </c>
      <c r="BC627">
        <v>25</v>
      </c>
      <c r="BD627">
        <v>0.5</v>
      </c>
      <c r="BE627" t="s">
        <v>139</v>
      </c>
      <c r="BG627">
        <v>0.1</v>
      </c>
      <c r="BH627">
        <f t="shared" si="29"/>
        <v>2.7777777777777779E-3</v>
      </c>
      <c r="BI627">
        <v>8</v>
      </c>
      <c r="BJ627">
        <v>6</v>
      </c>
      <c r="BK627">
        <v>10</v>
      </c>
      <c r="BP627">
        <v>16</v>
      </c>
      <c r="BS627" t="s">
        <v>230</v>
      </c>
      <c r="BT627" t="s">
        <v>1366</v>
      </c>
      <c r="BU627" t="s">
        <v>1371</v>
      </c>
      <c r="BV627">
        <v>41.8</v>
      </c>
      <c r="BW627">
        <v>0.1</v>
      </c>
      <c r="BX627">
        <v>48</v>
      </c>
      <c r="BY627">
        <v>42.1</v>
      </c>
      <c r="BZ627">
        <v>0.1</v>
      </c>
      <c r="CA627">
        <v>48</v>
      </c>
      <c r="CB627" t="s">
        <v>215</v>
      </c>
      <c r="CC627" t="s">
        <v>1368</v>
      </c>
    </row>
    <row r="628" spans="1:81" x14ac:dyDescent="0.25">
      <c r="A628" t="s">
        <v>81</v>
      </c>
      <c r="B628">
        <v>627</v>
      </c>
      <c r="C628">
        <v>122</v>
      </c>
      <c r="D628">
        <v>3</v>
      </c>
      <c r="E628">
        <v>85</v>
      </c>
      <c r="F628">
        <v>90</v>
      </c>
      <c r="G628">
        <v>366</v>
      </c>
      <c r="H628">
        <v>517</v>
      </c>
      <c r="I628" t="s">
        <v>1361</v>
      </c>
      <c r="J628" t="s">
        <v>211</v>
      </c>
      <c r="M628" t="s">
        <v>85</v>
      </c>
      <c r="O628" t="s">
        <v>14</v>
      </c>
      <c r="P628" t="s">
        <v>1362</v>
      </c>
      <c r="Q628" t="s">
        <v>1363</v>
      </c>
      <c r="R628">
        <v>2012</v>
      </c>
      <c r="S628" t="s">
        <v>949</v>
      </c>
      <c r="U628" t="s">
        <v>1364</v>
      </c>
      <c r="V628" t="s">
        <v>1365</v>
      </c>
      <c r="W628" t="s">
        <v>170</v>
      </c>
      <c r="X628" t="s">
        <v>171</v>
      </c>
      <c r="Y628" t="s">
        <v>778</v>
      </c>
      <c r="Z628" t="s">
        <v>779</v>
      </c>
      <c r="AA628" t="s">
        <v>1041</v>
      </c>
      <c r="AB628" t="s">
        <v>1042</v>
      </c>
      <c r="AC628" t="s">
        <v>1043</v>
      </c>
      <c r="AD628" t="s">
        <v>98</v>
      </c>
      <c r="AE628" t="s">
        <v>177</v>
      </c>
      <c r="AF628" t="s">
        <v>260</v>
      </c>
      <c r="AG628" t="s">
        <v>261</v>
      </c>
      <c r="AH628" t="s">
        <v>102</v>
      </c>
      <c r="AI628" t="s">
        <v>134</v>
      </c>
      <c r="AJ628" t="s">
        <v>135</v>
      </c>
      <c r="AM628" t="s">
        <v>178</v>
      </c>
      <c r="AN628" t="s">
        <v>106</v>
      </c>
      <c r="AV628">
        <v>1</v>
      </c>
      <c r="AW628" t="s">
        <v>108</v>
      </c>
      <c r="AX628">
        <v>20</v>
      </c>
      <c r="AY628" t="s">
        <v>134</v>
      </c>
      <c r="AZ628" t="s">
        <v>212</v>
      </c>
      <c r="BA628" t="s">
        <v>142</v>
      </c>
      <c r="BB628">
        <v>10</v>
      </c>
      <c r="BC628">
        <v>20</v>
      </c>
      <c r="BD628">
        <v>0.5</v>
      </c>
      <c r="BE628" t="s">
        <v>139</v>
      </c>
      <c r="BG628">
        <v>0.1</v>
      </c>
      <c r="BH628" s="14">
        <f t="shared" si="29"/>
        <v>2.7777777777777779E-3</v>
      </c>
      <c r="BI628">
        <v>8</v>
      </c>
      <c r="BJ628">
        <v>6</v>
      </c>
      <c r="BK628">
        <v>10</v>
      </c>
      <c r="BP628">
        <v>16</v>
      </c>
      <c r="BS628" t="s">
        <v>230</v>
      </c>
      <c r="BT628" t="s">
        <v>1366</v>
      </c>
      <c r="BU628" t="s">
        <v>1372</v>
      </c>
      <c r="BV628">
        <v>41.9</v>
      </c>
      <c r="BW628">
        <v>0.1</v>
      </c>
      <c r="BX628">
        <v>48</v>
      </c>
      <c r="BY628">
        <v>42</v>
      </c>
      <c r="BZ628">
        <v>0.1</v>
      </c>
      <c r="CA628">
        <v>48</v>
      </c>
      <c r="CB628" t="s">
        <v>215</v>
      </c>
      <c r="CC628" t="s">
        <v>1368</v>
      </c>
    </row>
    <row r="629" spans="1:81" x14ac:dyDescent="0.25">
      <c r="A629" t="s">
        <v>81</v>
      </c>
      <c r="B629">
        <v>628</v>
      </c>
      <c r="C629">
        <v>122</v>
      </c>
      <c r="D629">
        <v>3</v>
      </c>
      <c r="E629">
        <v>85</v>
      </c>
      <c r="F629">
        <v>90</v>
      </c>
      <c r="G629">
        <v>366</v>
      </c>
      <c r="H629">
        <v>518</v>
      </c>
      <c r="I629" t="s">
        <v>1361</v>
      </c>
      <c r="J629" t="s">
        <v>211</v>
      </c>
      <c r="M629" t="s">
        <v>85</v>
      </c>
      <c r="O629" t="s">
        <v>14</v>
      </c>
      <c r="P629" t="s">
        <v>1362</v>
      </c>
      <c r="Q629" t="s">
        <v>1363</v>
      </c>
      <c r="R629">
        <v>2012</v>
      </c>
      <c r="S629" t="s">
        <v>949</v>
      </c>
      <c r="U629" t="s">
        <v>1364</v>
      </c>
      <c r="V629" t="s">
        <v>1365</v>
      </c>
      <c r="W629" t="s">
        <v>170</v>
      </c>
      <c r="X629" t="s">
        <v>171</v>
      </c>
      <c r="Y629" t="s">
        <v>778</v>
      </c>
      <c r="Z629" t="s">
        <v>779</v>
      </c>
      <c r="AA629" t="s">
        <v>1041</v>
      </c>
      <c r="AB629" t="s">
        <v>1042</v>
      </c>
      <c r="AC629" t="s">
        <v>1043</v>
      </c>
      <c r="AD629" t="s">
        <v>98</v>
      </c>
      <c r="AE629" t="s">
        <v>177</v>
      </c>
      <c r="AF629" t="s">
        <v>260</v>
      </c>
      <c r="AG629" t="s">
        <v>261</v>
      </c>
      <c r="AH629" t="s">
        <v>102</v>
      </c>
      <c r="AI629" t="s">
        <v>134</v>
      </c>
      <c r="AJ629" t="s">
        <v>135</v>
      </c>
      <c r="AM629" t="s">
        <v>178</v>
      </c>
      <c r="AN629" t="s">
        <v>106</v>
      </c>
      <c r="AV629">
        <v>1</v>
      </c>
      <c r="AW629" t="s">
        <v>108</v>
      </c>
      <c r="AX629">
        <v>20</v>
      </c>
      <c r="AY629" t="s">
        <v>134</v>
      </c>
      <c r="AZ629" t="s">
        <v>212</v>
      </c>
      <c r="BA629" t="s">
        <v>142</v>
      </c>
      <c r="BB629">
        <v>20</v>
      </c>
      <c r="BC629">
        <v>25</v>
      </c>
      <c r="BD629">
        <v>0.5</v>
      </c>
      <c r="BE629" t="s">
        <v>139</v>
      </c>
      <c r="BG629">
        <v>0.1</v>
      </c>
      <c r="BH629">
        <f t="shared" si="29"/>
        <v>2.7777777777777779E-3</v>
      </c>
      <c r="BI629">
        <v>8</v>
      </c>
      <c r="BJ629">
        <v>6</v>
      </c>
      <c r="BK629">
        <v>10</v>
      </c>
      <c r="BP629">
        <v>16</v>
      </c>
      <c r="BS629" t="s">
        <v>230</v>
      </c>
      <c r="BT629" t="s">
        <v>1366</v>
      </c>
      <c r="BU629" t="s">
        <v>1372</v>
      </c>
      <c r="BV629">
        <v>42</v>
      </c>
      <c r="BW629">
        <v>0.1</v>
      </c>
      <c r="BX629">
        <v>48</v>
      </c>
      <c r="BY629">
        <v>42.3</v>
      </c>
      <c r="BZ629">
        <v>0.1</v>
      </c>
      <c r="CA629">
        <v>48</v>
      </c>
      <c r="CB629" t="s">
        <v>215</v>
      </c>
      <c r="CC629" t="s">
        <v>1368</v>
      </c>
    </row>
    <row r="630" spans="1:81" x14ac:dyDescent="0.25">
      <c r="A630" t="s">
        <v>81</v>
      </c>
      <c r="B630">
        <v>629</v>
      </c>
      <c r="C630">
        <v>122</v>
      </c>
      <c r="D630">
        <v>3</v>
      </c>
      <c r="E630">
        <v>86</v>
      </c>
      <c r="F630">
        <v>91</v>
      </c>
      <c r="G630">
        <v>367</v>
      </c>
      <c r="H630">
        <v>519</v>
      </c>
      <c r="I630" t="s">
        <v>1361</v>
      </c>
      <c r="J630" t="s">
        <v>211</v>
      </c>
      <c r="M630" t="s">
        <v>85</v>
      </c>
      <c r="O630" t="s">
        <v>14</v>
      </c>
      <c r="P630" t="s">
        <v>1362</v>
      </c>
      <c r="Q630" t="s">
        <v>1363</v>
      </c>
      <c r="R630">
        <v>2012</v>
      </c>
      <c r="S630" t="s">
        <v>949</v>
      </c>
      <c r="U630" t="s">
        <v>1364</v>
      </c>
      <c r="V630" t="s">
        <v>1365</v>
      </c>
      <c r="W630" t="s">
        <v>170</v>
      </c>
      <c r="X630" t="s">
        <v>171</v>
      </c>
      <c r="Y630" t="s">
        <v>778</v>
      </c>
      <c r="Z630" t="s">
        <v>779</v>
      </c>
      <c r="AA630" t="s">
        <v>1041</v>
      </c>
      <c r="AB630" t="s">
        <v>1042</v>
      </c>
      <c r="AC630" t="s">
        <v>1043</v>
      </c>
      <c r="AD630" t="s">
        <v>98</v>
      </c>
      <c r="AE630" t="s">
        <v>177</v>
      </c>
      <c r="AF630" t="s">
        <v>260</v>
      </c>
      <c r="AG630" t="s">
        <v>261</v>
      </c>
      <c r="AH630" t="s">
        <v>102</v>
      </c>
      <c r="AI630" t="s">
        <v>134</v>
      </c>
      <c r="AJ630" t="s">
        <v>135</v>
      </c>
      <c r="AM630" t="s">
        <v>178</v>
      </c>
      <c r="AN630" t="s">
        <v>106</v>
      </c>
      <c r="AV630">
        <v>1</v>
      </c>
      <c r="AW630" t="s">
        <v>108</v>
      </c>
      <c r="AX630">
        <v>20</v>
      </c>
      <c r="AY630" t="s">
        <v>134</v>
      </c>
      <c r="AZ630" t="s">
        <v>212</v>
      </c>
      <c r="BA630" t="s">
        <v>142</v>
      </c>
      <c r="BB630">
        <v>10</v>
      </c>
      <c r="BC630">
        <v>20</v>
      </c>
      <c r="BD630">
        <v>0.5</v>
      </c>
      <c r="BE630" t="s">
        <v>139</v>
      </c>
      <c r="BG630">
        <v>0.1</v>
      </c>
      <c r="BH630" s="14">
        <f t="shared" si="29"/>
        <v>2.7777777777777779E-3</v>
      </c>
      <c r="BI630">
        <v>8</v>
      </c>
      <c r="BJ630">
        <v>6</v>
      </c>
      <c r="BK630">
        <v>10</v>
      </c>
      <c r="BP630">
        <v>16</v>
      </c>
      <c r="BS630" t="s">
        <v>230</v>
      </c>
      <c r="BT630" t="s">
        <v>1366</v>
      </c>
      <c r="BU630" t="s">
        <v>1373</v>
      </c>
      <c r="BV630">
        <v>42</v>
      </c>
      <c r="BW630">
        <v>0.1</v>
      </c>
      <c r="BX630">
        <v>48</v>
      </c>
      <c r="BY630">
        <v>41.8</v>
      </c>
      <c r="BZ630">
        <v>0.1</v>
      </c>
      <c r="CA630">
        <v>48</v>
      </c>
      <c r="CB630" t="s">
        <v>215</v>
      </c>
      <c r="CC630" t="s">
        <v>1368</v>
      </c>
    </row>
    <row r="631" spans="1:81" x14ac:dyDescent="0.25">
      <c r="A631" t="s">
        <v>81</v>
      </c>
      <c r="B631">
        <v>630</v>
      </c>
      <c r="C631">
        <v>122</v>
      </c>
      <c r="D631">
        <v>3</v>
      </c>
      <c r="E631">
        <v>86</v>
      </c>
      <c r="F631">
        <v>91</v>
      </c>
      <c r="G631">
        <v>367</v>
      </c>
      <c r="H631">
        <v>520</v>
      </c>
      <c r="I631" t="s">
        <v>1361</v>
      </c>
      <c r="J631" t="s">
        <v>211</v>
      </c>
      <c r="M631" t="s">
        <v>85</v>
      </c>
      <c r="O631" t="s">
        <v>14</v>
      </c>
      <c r="P631" t="s">
        <v>1362</v>
      </c>
      <c r="Q631" t="s">
        <v>1363</v>
      </c>
      <c r="R631">
        <v>2012</v>
      </c>
      <c r="S631" t="s">
        <v>949</v>
      </c>
      <c r="U631" t="s">
        <v>1364</v>
      </c>
      <c r="V631" t="s">
        <v>1365</v>
      </c>
      <c r="W631" t="s">
        <v>170</v>
      </c>
      <c r="X631" t="s">
        <v>171</v>
      </c>
      <c r="Y631" t="s">
        <v>778</v>
      </c>
      <c r="Z631" t="s">
        <v>779</v>
      </c>
      <c r="AA631" t="s">
        <v>1041</v>
      </c>
      <c r="AB631" t="s">
        <v>1042</v>
      </c>
      <c r="AC631" t="s">
        <v>1043</v>
      </c>
      <c r="AD631" t="s">
        <v>98</v>
      </c>
      <c r="AE631" t="s">
        <v>177</v>
      </c>
      <c r="AF631" t="s">
        <v>260</v>
      </c>
      <c r="AG631" t="s">
        <v>261</v>
      </c>
      <c r="AH631" t="s">
        <v>102</v>
      </c>
      <c r="AI631" t="s">
        <v>134</v>
      </c>
      <c r="AJ631" t="s">
        <v>135</v>
      </c>
      <c r="AM631" t="s">
        <v>178</v>
      </c>
      <c r="AN631" t="s">
        <v>106</v>
      </c>
      <c r="AV631">
        <v>1</v>
      </c>
      <c r="AW631" t="s">
        <v>108</v>
      </c>
      <c r="AX631">
        <v>20</v>
      </c>
      <c r="AY631" t="s">
        <v>134</v>
      </c>
      <c r="AZ631" t="s">
        <v>212</v>
      </c>
      <c r="BA631" t="s">
        <v>142</v>
      </c>
      <c r="BB631">
        <v>20</v>
      </c>
      <c r="BC631">
        <v>25</v>
      </c>
      <c r="BD631">
        <v>0.5</v>
      </c>
      <c r="BE631" t="s">
        <v>139</v>
      </c>
      <c r="BG631">
        <v>0.1</v>
      </c>
      <c r="BH631">
        <f t="shared" si="29"/>
        <v>2.7777777777777779E-3</v>
      </c>
      <c r="BI631">
        <v>8</v>
      </c>
      <c r="BJ631">
        <v>6</v>
      </c>
      <c r="BK631">
        <v>10</v>
      </c>
      <c r="BP631">
        <v>16</v>
      </c>
      <c r="BS631" t="s">
        <v>230</v>
      </c>
      <c r="BT631" t="s">
        <v>1366</v>
      </c>
      <c r="BU631" t="s">
        <v>1373</v>
      </c>
      <c r="BV631">
        <v>41.8</v>
      </c>
      <c r="BW631">
        <v>0.1</v>
      </c>
      <c r="BX631">
        <v>48</v>
      </c>
      <c r="BY631">
        <v>42.2</v>
      </c>
      <c r="BZ631">
        <v>0.1</v>
      </c>
      <c r="CA631">
        <v>48</v>
      </c>
      <c r="CB631" t="s">
        <v>215</v>
      </c>
      <c r="CC631" t="s">
        <v>1368</v>
      </c>
    </row>
    <row r="632" spans="1:81" x14ac:dyDescent="0.25">
      <c r="A632" t="s">
        <v>81</v>
      </c>
      <c r="B632">
        <v>631</v>
      </c>
      <c r="C632">
        <v>122</v>
      </c>
      <c r="D632">
        <v>3</v>
      </c>
      <c r="E632">
        <v>87</v>
      </c>
      <c r="F632">
        <v>92</v>
      </c>
      <c r="G632">
        <v>368</v>
      </c>
      <c r="H632">
        <v>521</v>
      </c>
      <c r="I632" t="s">
        <v>1361</v>
      </c>
      <c r="J632" t="s">
        <v>211</v>
      </c>
      <c r="M632" t="s">
        <v>85</v>
      </c>
      <c r="O632" t="s">
        <v>14</v>
      </c>
      <c r="P632" t="s">
        <v>1362</v>
      </c>
      <c r="Q632" t="s">
        <v>1363</v>
      </c>
      <c r="R632">
        <v>2012</v>
      </c>
      <c r="S632" t="s">
        <v>949</v>
      </c>
      <c r="U632" t="s">
        <v>1364</v>
      </c>
      <c r="V632" t="s">
        <v>1365</v>
      </c>
      <c r="W632" t="s">
        <v>170</v>
      </c>
      <c r="X632" t="s">
        <v>171</v>
      </c>
      <c r="Y632" t="s">
        <v>778</v>
      </c>
      <c r="Z632" t="s">
        <v>779</v>
      </c>
      <c r="AA632" t="s">
        <v>1041</v>
      </c>
      <c r="AB632" t="s">
        <v>1042</v>
      </c>
      <c r="AC632" t="s">
        <v>1043</v>
      </c>
      <c r="AD632" t="s">
        <v>98</v>
      </c>
      <c r="AE632" t="s">
        <v>177</v>
      </c>
      <c r="AF632" t="s">
        <v>260</v>
      </c>
      <c r="AG632" t="s">
        <v>261</v>
      </c>
      <c r="AH632" t="s">
        <v>102</v>
      </c>
      <c r="AI632" t="s">
        <v>134</v>
      </c>
      <c r="AJ632" t="s">
        <v>135</v>
      </c>
      <c r="AM632" t="s">
        <v>178</v>
      </c>
      <c r="AN632" t="s">
        <v>106</v>
      </c>
      <c r="AV632">
        <v>1</v>
      </c>
      <c r="AW632" t="s">
        <v>108</v>
      </c>
      <c r="AX632">
        <v>20</v>
      </c>
      <c r="AY632" t="s">
        <v>134</v>
      </c>
      <c r="AZ632" t="s">
        <v>212</v>
      </c>
      <c r="BA632" t="s">
        <v>142</v>
      </c>
      <c r="BB632">
        <v>10</v>
      </c>
      <c r="BC632">
        <v>20</v>
      </c>
      <c r="BD632">
        <v>0.5</v>
      </c>
      <c r="BE632" t="s">
        <v>139</v>
      </c>
      <c r="BG632">
        <v>0.1</v>
      </c>
      <c r="BH632">
        <f t="shared" si="29"/>
        <v>2.7777777777777779E-3</v>
      </c>
      <c r="BI632">
        <v>8</v>
      </c>
      <c r="BJ632">
        <v>6</v>
      </c>
      <c r="BK632">
        <v>10</v>
      </c>
      <c r="BP632">
        <v>16</v>
      </c>
      <c r="BS632" t="s">
        <v>230</v>
      </c>
      <c r="BT632" t="s">
        <v>1366</v>
      </c>
      <c r="BU632" t="s">
        <v>1374</v>
      </c>
      <c r="BV632">
        <v>41.9</v>
      </c>
      <c r="BW632">
        <v>0.1</v>
      </c>
      <c r="BX632">
        <v>48</v>
      </c>
      <c r="BY632">
        <v>41.8</v>
      </c>
      <c r="BZ632">
        <v>0.1</v>
      </c>
      <c r="CA632">
        <v>48</v>
      </c>
      <c r="CB632" t="s">
        <v>215</v>
      </c>
      <c r="CC632" t="s">
        <v>1368</v>
      </c>
    </row>
    <row r="633" spans="1:81" x14ac:dyDescent="0.25">
      <c r="A633" t="s">
        <v>81</v>
      </c>
      <c r="B633">
        <v>632</v>
      </c>
      <c r="C633">
        <v>122</v>
      </c>
      <c r="D633">
        <v>3</v>
      </c>
      <c r="E633">
        <v>87</v>
      </c>
      <c r="F633">
        <v>92</v>
      </c>
      <c r="G633">
        <v>368</v>
      </c>
      <c r="H633">
        <v>522</v>
      </c>
      <c r="I633" t="s">
        <v>1361</v>
      </c>
      <c r="J633" t="s">
        <v>211</v>
      </c>
      <c r="M633" t="s">
        <v>85</v>
      </c>
      <c r="O633" t="s">
        <v>14</v>
      </c>
      <c r="P633" t="s">
        <v>1362</v>
      </c>
      <c r="Q633" t="s">
        <v>1363</v>
      </c>
      <c r="R633">
        <v>2012</v>
      </c>
      <c r="S633" t="s">
        <v>949</v>
      </c>
      <c r="U633" t="s">
        <v>1364</v>
      </c>
      <c r="V633" t="s">
        <v>1365</v>
      </c>
      <c r="W633" t="s">
        <v>170</v>
      </c>
      <c r="X633" t="s">
        <v>171</v>
      </c>
      <c r="Y633" t="s">
        <v>778</v>
      </c>
      <c r="Z633" t="s">
        <v>779</v>
      </c>
      <c r="AA633" t="s">
        <v>1041</v>
      </c>
      <c r="AB633" t="s">
        <v>1042</v>
      </c>
      <c r="AC633" t="s">
        <v>1043</v>
      </c>
      <c r="AD633" t="s">
        <v>98</v>
      </c>
      <c r="AE633" t="s">
        <v>177</v>
      </c>
      <c r="AF633" t="s">
        <v>260</v>
      </c>
      <c r="AG633" t="s">
        <v>261</v>
      </c>
      <c r="AH633" t="s">
        <v>102</v>
      </c>
      <c r="AI633" t="s">
        <v>134</v>
      </c>
      <c r="AJ633" t="s">
        <v>135</v>
      </c>
      <c r="AM633" t="s">
        <v>178</v>
      </c>
      <c r="AN633" t="s">
        <v>106</v>
      </c>
      <c r="AV633">
        <v>1</v>
      </c>
      <c r="AW633" t="s">
        <v>108</v>
      </c>
      <c r="AX633">
        <v>20</v>
      </c>
      <c r="AY633" t="s">
        <v>134</v>
      </c>
      <c r="AZ633" t="s">
        <v>212</v>
      </c>
      <c r="BA633" t="s">
        <v>142</v>
      </c>
      <c r="BB633">
        <v>20</v>
      </c>
      <c r="BC633">
        <v>25</v>
      </c>
      <c r="BD633">
        <v>0.5</v>
      </c>
      <c r="BE633" t="s">
        <v>139</v>
      </c>
      <c r="BG633">
        <v>0.1</v>
      </c>
      <c r="BH633">
        <f t="shared" si="29"/>
        <v>2.7777777777777779E-3</v>
      </c>
      <c r="BI633">
        <v>8</v>
      </c>
      <c r="BJ633">
        <v>6</v>
      </c>
      <c r="BK633">
        <v>10</v>
      </c>
      <c r="BP633">
        <v>16</v>
      </c>
      <c r="BS633" t="s">
        <v>230</v>
      </c>
      <c r="BT633" t="s">
        <v>1366</v>
      </c>
      <c r="BU633" t="s">
        <v>1374</v>
      </c>
      <c r="BV633">
        <v>41.8</v>
      </c>
      <c r="BW633">
        <v>0.1</v>
      </c>
      <c r="BX633">
        <v>48</v>
      </c>
      <c r="BY633">
        <v>41.9</v>
      </c>
      <c r="BZ633">
        <v>0.1</v>
      </c>
      <c r="CA633">
        <v>48</v>
      </c>
      <c r="CB633" t="s">
        <v>215</v>
      </c>
      <c r="CC633" t="s">
        <v>1368</v>
      </c>
    </row>
    <row r="634" spans="1:81" x14ac:dyDescent="0.25">
      <c r="A634" t="s">
        <v>81</v>
      </c>
      <c r="B634">
        <v>633</v>
      </c>
      <c r="C634">
        <v>122</v>
      </c>
      <c r="D634">
        <v>3</v>
      </c>
      <c r="E634">
        <v>88</v>
      </c>
      <c r="F634">
        <v>93</v>
      </c>
      <c r="G634">
        <v>369</v>
      </c>
      <c r="H634">
        <v>523</v>
      </c>
      <c r="I634" t="s">
        <v>1361</v>
      </c>
      <c r="J634" t="s">
        <v>211</v>
      </c>
      <c r="M634" t="s">
        <v>85</v>
      </c>
      <c r="O634" t="s">
        <v>14</v>
      </c>
      <c r="P634" t="s">
        <v>1362</v>
      </c>
      <c r="Q634" t="s">
        <v>1363</v>
      </c>
      <c r="R634">
        <v>2012</v>
      </c>
      <c r="S634" t="s">
        <v>949</v>
      </c>
      <c r="U634" t="s">
        <v>1364</v>
      </c>
      <c r="V634" t="s">
        <v>1365</v>
      </c>
      <c r="W634" t="s">
        <v>170</v>
      </c>
      <c r="X634" t="s">
        <v>171</v>
      </c>
      <c r="Y634" t="s">
        <v>778</v>
      </c>
      <c r="Z634" t="s">
        <v>779</v>
      </c>
      <c r="AA634" t="s">
        <v>1041</v>
      </c>
      <c r="AB634" t="s">
        <v>1042</v>
      </c>
      <c r="AC634" t="s">
        <v>1043</v>
      </c>
      <c r="AD634" t="s">
        <v>98</v>
      </c>
      <c r="AE634" t="s">
        <v>177</v>
      </c>
      <c r="AF634" t="s">
        <v>260</v>
      </c>
      <c r="AG634" t="s">
        <v>261</v>
      </c>
      <c r="AH634" t="s">
        <v>102</v>
      </c>
      <c r="AI634" t="s">
        <v>134</v>
      </c>
      <c r="AJ634" t="s">
        <v>135</v>
      </c>
      <c r="AM634" t="s">
        <v>178</v>
      </c>
      <c r="AN634" t="s">
        <v>106</v>
      </c>
      <c r="AV634">
        <v>1</v>
      </c>
      <c r="AW634" t="s">
        <v>108</v>
      </c>
      <c r="AX634">
        <v>20</v>
      </c>
      <c r="AY634" t="s">
        <v>134</v>
      </c>
      <c r="AZ634" t="s">
        <v>212</v>
      </c>
      <c r="BA634" t="s">
        <v>142</v>
      </c>
      <c r="BB634">
        <v>10</v>
      </c>
      <c r="BC634">
        <v>20</v>
      </c>
      <c r="BD634">
        <v>0.5</v>
      </c>
      <c r="BE634" t="s">
        <v>139</v>
      </c>
      <c r="BG634">
        <v>0.1</v>
      </c>
      <c r="BH634">
        <f t="shared" si="29"/>
        <v>2.7777777777777779E-3</v>
      </c>
      <c r="BI634">
        <v>8</v>
      </c>
      <c r="BJ634">
        <v>6</v>
      </c>
      <c r="BK634">
        <v>10</v>
      </c>
      <c r="BP634">
        <v>16</v>
      </c>
      <c r="BS634" t="s">
        <v>230</v>
      </c>
      <c r="BT634" t="s">
        <v>1366</v>
      </c>
      <c r="BU634" t="s">
        <v>1375</v>
      </c>
      <c r="BV634">
        <v>41.9</v>
      </c>
      <c r="BW634">
        <v>0.1</v>
      </c>
      <c r="BX634">
        <v>48</v>
      </c>
      <c r="BY634">
        <v>41.9</v>
      </c>
      <c r="BZ634">
        <v>0.1</v>
      </c>
      <c r="CA634">
        <v>48</v>
      </c>
      <c r="CB634" t="s">
        <v>215</v>
      </c>
      <c r="CC634" t="s">
        <v>1368</v>
      </c>
    </row>
    <row r="635" spans="1:81" x14ac:dyDescent="0.25">
      <c r="A635" t="s">
        <v>81</v>
      </c>
      <c r="B635">
        <v>634</v>
      </c>
      <c r="C635">
        <v>122</v>
      </c>
      <c r="D635">
        <v>3</v>
      </c>
      <c r="E635">
        <v>88</v>
      </c>
      <c r="F635">
        <v>93</v>
      </c>
      <c r="G635">
        <v>369</v>
      </c>
      <c r="H635">
        <v>524</v>
      </c>
      <c r="I635" t="s">
        <v>1361</v>
      </c>
      <c r="J635" t="s">
        <v>211</v>
      </c>
      <c r="M635" t="s">
        <v>85</v>
      </c>
      <c r="O635" t="s">
        <v>14</v>
      </c>
      <c r="P635" t="s">
        <v>1362</v>
      </c>
      <c r="Q635" t="s">
        <v>1363</v>
      </c>
      <c r="R635">
        <v>2012</v>
      </c>
      <c r="S635" t="s">
        <v>949</v>
      </c>
      <c r="U635" t="s">
        <v>1364</v>
      </c>
      <c r="V635" t="s">
        <v>1365</v>
      </c>
      <c r="W635" t="s">
        <v>170</v>
      </c>
      <c r="X635" t="s">
        <v>171</v>
      </c>
      <c r="Y635" t="s">
        <v>778</v>
      </c>
      <c r="Z635" t="s">
        <v>779</v>
      </c>
      <c r="AA635" t="s">
        <v>1041</v>
      </c>
      <c r="AB635" t="s">
        <v>1042</v>
      </c>
      <c r="AC635" t="s">
        <v>1043</v>
      </c>
      <c r="AD635" t="s">
        <v>98</v>
      </c>
      <c r="AE635" t="s">
        <v>177</v>
      </c>
      <c r="AF635" t="s">
        <v>260</v>
      </c>
      <c r="AG635" t="s">
        <v>261</v>
      </c>
      <c r="AH635" t="s">
        <v>102</v>
      </c>
      <c r="AI635" t="s">
        <v>134</v>
      </c>
      <c r="AJ635" t="s">
        <v>135</v>
      </c>
      <c r="AM635" t="s">
        <v>178</v>
      </c>
      <c r="AN635" t="s">
        <v>106</v>
      </c>
      <c r="AV635">
        <v>1</v>
      </c>
      <c r="AW635" t="s">
        <v>108</v>
      </c>
      <c r="AX635">
        <v>20</v>
      </c>
      <c r="AY635" t="s">
        <v>134</v>
      </c>
      <c r="AZ635" t="s">
        <v>212</v>
      </c>
      <c r="BA635" t="s">
        <v>142</v>
      </c>
      <c r="BB635">
        <v>20</v>
      </c>
      <c r="BC635">
        <v>25</v>
      </c>
      <c r="BD635">
        <v>0.5</v>
      </c>
      <c r="BE635" t="s">
        <v>139</v>
      </c>
      <c r="BG635">
        <v>0.1</v>
      </c>
      <c r="BH635">
        <f t="shared" si="29"/>
        <v>2.7777777777777779E-3</v>
      </c>
      <c r="BI635">
        <v>8</v>
      </c>
      <c r="BJ635">
        <v>6</v>
      </c>
      <c r="BK635">
        <v>10</v>
      </c>
      <c r="BP635">
        <v>16</v>
      </c>
      <c r="BS635" t="s">
        <v>230</v>
      </c>
      <c r="BT635" t="s">
        <v>1366</v>
      </c>
      <c r="BU635" t="s">
        <v>1375</v>
      </c>
      <c r="BV635">
        <v>41.9</v>
      </c>
      <c r="BW635">
        <v>0.1</v>
      </c>
      <c r="BX635">
        <v>48</v>
      </c>
      <c r="BY635">
        <v>42.1</v>
      </c>
      <c r="BZ635">
        <v>0.1</v>
      </c>
      <c r="CA635">
        <v>48</v>
      </c>
      <c r="CB635" t="s">
        <v>215</v>
      </c>
      <c r="CC635" t="s">
        <v>1368</v>
      </c>
    </row>
    <row r="636" spans="1:81" x14ac:dyDescent="0.25">
      <c r="A636" t="s">
        <v>81</v>
      </c>
      <c r="B636">
        <v>635</v>
      </c>
      <c r="C636">
        <v>122</v>
      </c>
      <c r="D636">
        <v>3</v>
      </c>
      <c r="E636">
        <v>89</v>
      </c>
      <c r="F636">
        <v>94</v>
      </c>
      <c r="G636">
        <v>370</v>
      </c>
      <c r="H636">
        <v>525</v>
      </c>
      <c r="I636" t="s">
        <v>1361</v>
      </c>
      <c r="J636" t="s">
        <v>211</v>
      </c>
      <c r="M636" t="s">
        <v>85</v>
      </c>
      <c r="O636" t="s">
        <v>14</v>
      </c>
      <c r="P636" t="s">
        <v>1362</v>
      </c>
      <c r="Q636" t="s">
        <v>1363</v>
      </c>
      <c r="R636">
        <v>2012</v>
      </c>
      <c r="S636" t="s">
        <v>949</v>
      </c>
      <c r="U636" t="s">
        <v>1364</v>
      </c>
      <c r="V636" t="s">
        <v>1365</v>
      </c>
      <c r="W636" t="s">
        <v>170</v>
      </c>
      <c r="X636" t="s">
        <v>171</v>
      </c>
      <c r="Y636" t="s">
        <v>778</v>
      </c>
      <c r="Z636" t="s">
        <v>779</v>
      </c>
      <c r="AA636" t="s">
        <v>1041</v>
      </c>
      <c r="AB636" t="s">
        <v>1042</v>
      </c>
      <c r="AC636" t="s">
        <v>1043</v>
      </c>
      <c r="AD636" t="s">
        <v>98</v>
      </c>
      <c r="AE636" t="s">
        <v>177</v>
      </c>
      <c r="AF636" t="s">
        <v>260</v>
      </c>
      <c r="AG636" t="s">
        <v>261</v>
      </c>
      <c r="AH636" t="s">
        <v>102</v>
      </c>
      <c r="AI636" t="s">
        <v>134</v>
      </c>
      <c r="AJ636" t="s">
        <v>135</v>
      </c>
      <c r="AM636" t="s">
        <v>178</v>
      </c>
      <c r="AN636" t="s">
        <v>106</v>
      </c>
      <c r="AV636">
        <v>1</v>
      </c>
      <c r="AW636" t="s">
        <v>108</v>
      </c>
      <c r="AX636">
        <v>20</v>
      </c>
      <c r="AY636" t="s">
        <v>134</v>
      </c>
      <c r="AZ636" t="s">
        <v>212</v>
      </c>
      <c r="BA636" t="s">
        <v>142</v>
      </c>
      <c r="BB636">
        <v>10</v>
      </c>
      <c r="BC636">
        <v>20</v>
      </c>
      <c r="BD636">
        <v>0.5</v>
      </c>
      <c r="BE636" t="s">
        <v>139</v>
      </c>
      <c r="BG636">
        <v>0.1</v>
      </c>
      <c r="BH636">
        <f t="shared" si="29"/>
        <v>2.7777777777777779E-3</v>
      </c>
      <c r="BI636">
        <v>8</v>
      </c>
      <c r="BJ636">
        <v>6</v>
      </c>
      <c r="BK636">
        <v>10</v>
      </c>
      <c r="BP636">
        <v>16</v>
      </c>
      <c r="BS636" t="s">
        <v>230</v>
      </c>
      <c r="BT636" t="s">
        <v>1366</v>
      </c>
      <c r="BU636" t="s">
        <v>1375</v>
      </c>
      <c r="BV636">
        <v>41.9</v>
      </c>
      <c r="BW636">
        <v>0.1</v>
      </c>
      <c r="BX636">
        <v>48</v>
      </c>
      <c r="BY636">
        <v>41.6</v>
      </c>
      <c r="BZ636">
        <v>0.1</v>
      </c>
      <c r="CA636">
        <v>48</v>
      </c>
      <c r="CB636" t="s">
        <v>215</v>
      </c>
      <c r="CC636" t="s">
        <v>1368</v>
      </c>
    </row>
    <row r="637" spans="1:81" x14ac:dyDescent="0.25">
      <c r="A637" t="s">
        <v>81</v>
      </c>
      <c r="B637">
        <v>636</v>
      </c>
      <c r="C637">
        <v>122</v>
      </c>
      <c r="D637">
        <v>3</v>
      </c>
      <c r="E637">
        <v>89</v>
      </c>
      <c r="F637">
        <v>94</v>
      </c>
      <c r="G637">
        <v>370</v>
      </c>
      <c r="H637">
        <v>526</v>
      </c>
      <c r="I637" t="s">
        <v>1361</v>
      </c>
      <c r="J637" t="s">
        <v>211</v>
      </c>
      <c r="M637" t="s">
        <v>85</v>
      </c>
      <c r="O637" t="s">
        <v>14</v>
      </c>
      <c r="P637" t="s">
        <v>1362</v>
      </c>
      <c r="Q637" t="s">
        <v>1363</v>
      </c>
      <c r="R637">
        <v>2012</v>
      </c>
      <c r="S637" t="s">
        <v>949</v>
      </c>
      <c r="U637" t="s">
        <v>1364</v>
      </c>
      <c r="V637" t="s">
        <v>1365</v>
      </c>
      <c r="W637" t="s">
        <v>170</v>
      </c>
      <c r="X637" t="s">
        <v>171</v>
      </c>
      <c r="Y637" t="s">
        <v>778</v>
      </c>
      <c r="Z637" t="s">
        <v>779</v>
      </c>
      <c r="AA637" t="s">
        <v>1041</v>
      </c>
      <c r="AB637" t="s">
        <v>1042</v>
      </c>
      <c r="AC637" t="s">
        <v>1043</v>
      </c>
      <c r="AD637" t="s">
        <v>98</v>
      </c>
      <c r="AE637" t="s">
        <v>177</v>
      </c>
      <c r="AF637" t="s">
        <v>260</v>
      </c>
      <c r="AG637" t="s">
        <v>261</v>
      </c>
      <c r="AH637" t="s">
        <v>102</v>
      </c>
      <c r="AI637" t="s">
        <v>134</v>
      </c>
      <c r="AJ637" t="s">
        <v>135</v>
      </c>
      <c r="AM637" t="s">
        <v>178</v>
      </c>
      <c r="AN637" t="s">
        <v>106</v>
      </c>
      <c r="AV637">
        <v>1</v>
      </c>
      <c r="AW637" t="s">
        <v>108</v>
      </c>
      <c r="AX637">
        <v>20</v>
      </c>
      <c r="AY637" t="s">
        <v>134</v>
      </c>
      <c r="AZ637" t="s">
        <v>212</v>
      </c>
      <c r="BA637" t="s">
        <v>142</v>
      </c>
      <c r="BB637">
        <v>20</v>
      </c>
      <c r="BC637">
        <v>25</v>
      </c>
      <c r="BD637">
        <v>0.5</v>
      </c>
      <c r="BE637" t="s">
        <v>139</v>
      </c>
      <c r="BG637">
        <v>0.1</v>
      </c>
      <c r="BH637">
        <f t="shared" si="29"/>
        <v>2.7777777777777779E-3</v>
      </c>
      <c r="BI637">
        <v>8</v>
      </c>
      <c r="BJ637">
        <v>6</v>
      </c>
      <c r="BK637">
        <v>10</v>
      </c>
      <c r="BP637">
        <v>16</v>
      </c>
      <c r="BS637" t="s">
        <v>230</v>
      </c>
      <c r="BT637" t="s">
        <v>1366</v>
      </c>
      <c r="BU637" t="s">
        <v>1375</v>
      </c>
      <c r="BV637">
        <v>41.6</v>
      </c>
      <c r="BW637">
        <v>0.1</v>
      </c>
      <c r="BX637">
        <v>48</v>
      </c>
      <c r="BY637">
        <v>41.8</v>
      </c>
      <c r="BZ637">
        <v>0.1</v>
      </c>
      <c r="CA637">
        <v>48</v>
      </c>
      <c r="CB637" t="s">
        <v>215</v>
      </c>
      <c r="CC637" t="s">
        <v>1368</v>
      </c>
    </row>
    <row r="638" spans="1:81" x14ac:dyDescent="0.25">
      <c r="A638" t="s">
        <v>81</v>
      </c>
      <c r="B638">
        <v>637</v>
      </c>
      <c r="C638">
        <v>123</v>
      </c>
      <c r="D638">
        <v>109</v>
      </c>
      <c r="E638">
        <v>125</v>
      </c>
      <c r="F638">
        <v>128</v>
      </c>
      <c r="G638">
        <v>371</v>
      </c>
      <c r="H638">
        <v>527</v>
      </c>
      <c r="J638" t="s">
        <v>691</v>
      </c>
      <c r="M638" t="s">
        <v>85</v>
      </c>
      <c r="O638" t="s">
        <v>14</v>
      </c>
      <c r="P638" t="s">
        <v>1376</v>
      </c>
      <c r="Q638" t="s">
        <v>1377</v>
      </c>
      <c r="R638">
        <v>2014</v>
      </c>
      <c r="S638" t="s">
        <v>446</v>
      </c>
      <c r="U638" t="s">
        <v>1378</v>
      </c>
      <c r="V638" t="s">
        <v>1379</v>
      </c>
      <c r="W638" t="s">
        <v>1380</v>
      </c>
      <c r="X638" t="s">
        <v>1381</v>
      </c>
      <c r="Y638" t="s">
        <v>1382</v>
      </c>
      <c r="Z638" t="s">
        <v>1383</v>
      </c>
      <c r="AA638" t="s">
        <v>1384</v>
      </c>
      <c r="AB638" t="s">
        <v>1385</v>
      </c>
      <c r="AC638" t="s">
        <v>1386</v>
      </c>
      <c r="AD638" t="s">
        <v>132</v>
      </c>
      <c r="AE638" t="s">
        <v>316</v>
      </c>
      <c r="AF638" t="s">
        <v>260</v>
      </c>
      <c r="AG638" t="s">
        <v>102</v>
      </c>
      <c r="AH638" t="s">
        <v>102</v>
      </c>
      <c r="AI638" t="s">
        <v>134</v>
      </c>
      <c r="AJ638" t="s">
        <v>104</v>
      </c>
      <c r="AM638" t="s">
        <v>136</v>
      </c>
      <c r="AN638" t="s">
        <v>106</v>
      </c>
      <c r="AT638">
        <f>7.58</f>
        <v>7.58</v>
      </c>
      <c r="AV638">
        <f>((12+17)/2)*30.5</f>
        <v>442.25</v>
      </c>
      <c r="AW638" t="s">
        <v>108</v>
      </c>
      <c r="AX638">
        <v>19.3</v>
      </c>
      <c r="AY638" t="s">
        <v>103</v>
      </c>
      <c r="AZ638" t="s">
        <v>212</v>
      </c>
      <c r="BA638" t="s">
        <v>142</v>
      </c>
      <c r="BB638">
        <v>22</v>
      </c>
      <c r="BC638">
        <v>27</v>
      </c>
      <c r="BD638">
        <v>1</v>
      </c>
      <c r="BE638" t="s">
        <v>111</v>
      </c>
      <c r="BF638">
        <v>1</v>
      </c>
      <c r="BH638">
        <v>96</v>
      </c>
      <c r="BI638">
        <v>5</v>
      </c>
      <c r="BJ638">
        <v>3</v>
      </c>
      <c r="BK638">
        <v>7</v>
      </c>
      <c r="BM638">
        <v>7.27</v>
      </c>
      <c r="BO638">
        <v>8.3000000000000007</v>
      </c>
      <c r="BP638">
        <v>14</v>
      </c>
      <c r="BU638" t="s">
        <v>1387</v>
      </c>
      <c r="BV638">
        <v>31.9</v>
      </c>
      <c r="BW638">
        <v>0.71428570000000002</v>
      </c>
      <c r="BX638">
        <v>15</v>
      </c>
      <c r="BY638">
        <v>33.299999999999997</v>
      </c>
      <c r="BZ638">
        <v>0.71428570000000002</v>
      </c>
      <c r="CA638">
        <v>15</v>
      </c>
      <c r="CB638" t="s">
        <v>215</v>
      </c>
      <c r="CC638" t="s">
        <v>1368</v>
      </c>
    </row>
    <row r="639" spans="1:81" x14ac:dyDescent="0.25">
      <c r="A639" t="s">
        <v>81</v>
      </c>
      <c r="B639">
        <v>638</v>
      </c>
      <c r="C639">
        <v>123</v>
      </c>
      <c r="D639">
        <v>110</v>
      </c>
      <c r="E639">
        <v>126</v>
      </c>
      <c r="F639">
        <v>129</v>
      </c>
      <c r="G639">
        <v>372</v>
      </c>
      <c r="H639">
        <v>528</v>
      </c>
      <c r="J639" t="s">
        <v>691</v>
      </c>
      <c r="M639" t="s">
        <v>85</v>
      </c>
      <c r="O639" t="s">
        <v>14</v>
      </c>
      <c r="P639" t="s">
        <v>1376</v>
      </c>
      <c r="Q639" t="s">
        <v>1377</v>
      </c>
      <c r="R639">
        <v>2014</v>
      </c>
      <c r="S639" t="s">
        <v>446</v>
      </c>
      <c r="U639" t="s">
        <v>1378</v>
      </c>
      <c r="V639" t="s">
        <v>1379</v>
      </c>
      <c r="W639" t="s">
        <v>1380</v>
      </c>
      <c r="X639" t="s">
        <v>1381</v>
      </c>
      <c r="Y639" t="s">
        <v>1382</v>
      </c>
      <c r="Z639" t="s">
        <v>1383</v>
      </c>
      <c r="AA639" t="s">
        <v>1384</v>
      </c>
      <c r="AB639" t="s">
        <v>1388</v>
      </c>
      <c r="AC639" t="s">
        <v>1389</v>
      </c>
      <c r="AD639" t="s">
        <v>132</v>
      </c>
      <c r="AE639" t="s">
        <v>316</v>
      </c>
      <c r="AF639" t="s">
        <v>260</v>
      </c>
      <c r="AG639" t="s">
        <v>102</v>
      </c>
      <c r="AH639" t="s">
        <v>102</v>
      </c>
      <c r="AI639" t="s">
        <v>134</v>
      </c>
      <c r="AJ639" t="s">
        <v>104</v>
      </c>
      <c r="AM639" t="s">
        <v>136</v>
      </c>
      <c r="AN639" t="s">
        <v>106</v>
      </c>
      <c r="AT639">
        <v>4.78</v>
      </c>
      <c r="AV639">
        <f>((12+17)/2)*30.5</f>
        <v>442.25</v>
      </c>
      <c r="AW639" t="s">
        <v>108</v>
      </c>
      <c r="AX639">
        <v>19.3</v>
      </c>
      <c r="AY639" t="s">
        <v>103</v>
      </c>
      <c r="AZ639" t="s">
        <v>212</v>
      </c>
      <c r="BA639" t="s">
        <v>142</v>
      </c>
      <c r="BB639">
        <v>22</v>
      </c>
      <c r="BC639">
        <v>27</v>
      </c>
      <c r="BD639">
        <v>1</v>
      </c>
      <c r="BE639" t="s">
        <v>111</v>
      </c>
      <c r="BF639">
        <v>1</v>
      </c>
      <c r="BH639">
        <v>96</v>
      </c>
      <c r="BI639">
        <v>5</v>
      </c>
      <c r="BJ639">
        <v>3</v>
      </c>
      <c r="BK639">
        <v>7</v>
      </c>
      <c r="BM639">
        <v>7.27</v>
      </c>
      <c r="BO639">
        <v>8.3000000000000007</v>
      </c>
      <c r="BP639">
        <v>14</v>
      </c>
      <c r="BU639" t="s">
        <v>1387</v>
      </c>
      <c r="BV639">
        <v>29.9</v>
      </c>
      <c r="BW639">
        <v>0.40816330000000001</v>
      </c>
      <c r="BX639">
        <v>15</v>
      </c>
      <c r="BY639">
        <v>31</v>
      </c>
      <c r="BZ639">
        <v>0.61224489999999998</v>
      </c>
      <c r="CA639">
        <v>15</v>
      </c>
      <c r="CB639" t="s">
        <v>215</v>
      </c>
      <c r="CC639" t="s">
        <v>1368</v>
      </c>
    </row>
    <row r="640" spans="1:81" x14ac:dyDescent="0.25">
      <c r="A640" t="s">
        <v>81</v>
      </c>
      <c r="B640">
        <v>639</v>
      </c>
      <c r="C640">
        <v>124</v>
      </c>
      <c r="D640">
        <v>109</v>
      </c>
      <c r="E640">
        <v>125</v>
      </c>
      <c r="F640">
        <v>128</v>
      </c>
      <c r="G640">
        <v>373</v>
      </c>
      <c r="H640">
        <v>529</v>
      </c>
      <c r="I640" t="s">
        <v>1390</v>
      </c>
      <c r="J640" t="s">
        <v>691</v>
      </c>
      <c r="M640" t="s">
        <v>85</v>
      </c>
      <c r="O640" t="s">
        <v>14</v>
      </c>
      <c r="P640" t="s">
        <v>1391</v>
      </c>
      <c r="Q640" t="s">
        <v>1392</v>
      </c>
      <c r="R640">
        <v>2014</v>
      </c>
      <c r="S640" t="s">
        <v>1393</v>
      </c>
      <c r="U640" t="s">
        <v>1394</v>
      </c>
      <c r="V640" t="s">
        <v>1395</v>
      </c>
      <c r="W640" t="s">
        <v>1380</v>
      </c>
      <c r="X640" t="s">
        <v>1381</v>
      </c>
      <c r="Y640" t="s">
        <v>1382</v>
      </c>
      <c r="Z640" t="s">
        <v>1383</v>
      </c>
      <c r="AA640" t="s">
        <v>1384</v>
      </c>
      <c r="AB640" t="s">
        <v>1385</v>
      </c>
      <c r="AC640" t="s">
        <v>1386</v>
      </c>
      <c r="AD640" t="s">
        <v>132</v>
      </c>
      <c r="AE640" t="s">
        <v>316</v>
      </c>
      <c r="AF640" t="s">
        <v>260</v>
      </c>
      <c r="AG640" t="s">
        <v>102</v>
      </c>
      <c r="AH640" t="s">
        <v>102</v>
      </c>
      <c r="AI640" t="s">
        <v>134</v>
      </c>
      <c r="AJ640" t="s">
        <v>104</v>
      </c>
      <c r="AM640" t="s">
        <v>136</v>
      </c>
      <c r="AN640" t="s">
        <v>106</v>
      </c>
      <c r="AT640">
        <v>0.23</v>
      </c>
      <c r="AV640">
        <v>7</v>
      </c>
      <c r="AW640" t="s">
        <v>108</v>
      </c>
      <c r="AX640">
        <v>18</v>
      </c>
      <c r="AY640" t="s">
        <v>103</v>
      </c>
      <c r="AZ640" t="s">
        <v>212</v>
      </c>
      <c r="BA640" t="s">
        <v>142</v>
      </c>
      <c r="BB640">
        <v>22</v>
      </c>
      <c r="BC640">
        <v>27</v>
      </c>
      <c r="BD640">
        <v>1</v>
      </c>
      <c r="BE640" t="s">
        <v>111</v>
      </c>
      <c r="BF640">
        <v>1</v>
      </c>
      <c r="BH640">
        <v>96</v>
      </c>
      <c r="BI640">
        <v>5</v>
      </c>
      <c r="BJ640">
        <v>3</v>
      </c>
      <c r="BM640">
        <v>7.52</v>
      </c>
      <c r="BO640">
        <v>8.1300000000000008</v>
      </c>
      <c r="BP640">
        <v>14</v>
      </c>
      <c r="BU640" t="s">
        <v>1396</v>
      </c>
      <c r="BV640">
        <v>34.799999999999997</v>
      </c>
      <c r="BW640">
        <v>0.61224489999999998</v>
      </c>
      <c r="BX640">
        <v>15</v>
      </c>
      <c r="BY640">
        <v>34.9</v>
      </c>
      <c r="BZ640">
        <v>0.30612240000000002</v>
      </c>
      <c r="CA640">
        <v>15</v>
      </c>
      <c r="CB640" t="s">
        <v>215</v>
      </c>
      <c r="CC640" t="s">
        <v>1397</v>
      </c>
    </row>
    <row r="641" spans="1:81" x14ac:dyDescent="0.25">
      <c r="A641" t="s">
        <v>81</v>
      </c>
      <c r="B641">
        <v>640</v>
      </c>
      <c r="C641">
        <v>124</v>
      </c>
      <c r="D641">
        <v>109</v>
      </c>
      <c r="E641">
        <v>125</v>
      </c>
      <c r="F641">
        <v>128</v>
      </c>
      <c r="G641">
        <v>374</v>
      </c>
      <c r="H641">
        <v>530</v>
      </c>
      <c r="I641" t="s">
        <v>1390</v>
      </c>
      <c r="J641" t="s">
        <v>691</v>
      </c>
      <c r="M641" t="s">
        <v>85</v>
      </c>
      <c r="O641" t="s">
        <v>14</v>
      </c>
      <c r="P641" t="s">
        <v>1391</v>
      </c>
      <c r="Q641" t="s">
        <v>1392</v>
      </c>
      <c r="R641">
        <v>2014</v>
      </c>
      <c r="S641" t="s">
        <v>1393</v>
      </c>
      <c r="U641" t="s">
        <v>1394</v>
      </c>
      <c r="V641" t="s">
        <v>1395</v>
      </c>
      <c r="W641" t="s">
        <v>1380</v>
      </c>
      <c r="X641" t="s">
        <v>1381</v>
      </c>
      <c r="Y641" t="s">
        <v>1382</v>
      </c>
      <c r="Z641" t="s">
        <v>1383</v>
      </c>
      <c r="AA641" t="s">
        <v>1384</v>
      </c>
      <c r="AB641" t="s">
        <v>1385</v>
      </c>
      <c r="AC641" t="s">
        <v>1386</v>
      </c>
      <c r="AD641" t="s">
        <v>132</v>
      </c>
      <c r="AE641" t="s">
        <v>316</v>
      </c>
      <c r="AF641" t="s">
        <v>260</v>
      </c>
      <c r="AG641" t="s">
        <v>102</v>
      </c>
      <c r="AH641" t="s">
        <v>102</v>
      </c>
      <c r="AI641" t="s">
        <v>134</v>
      </c>
      <c r="AJ641" t="s">
        <v>104</v>
      </c>
      <c r="AM641" t="s">
        <v>136</v>
      </c>
      <c r="AN641" t="s">
        <v>106</v>
      </c>
      <c r="AT641">
        <v>4.93</v>
      </c>
      <c r="AV641">
        <f>4*30.5</f>
        <v>122</v>
      </c>
      <c r="AW641" t="s">
        <v>108</v>
      </c>
      <c r="AX641">
        <v>18</v>
      </c>
      <c r="AY641" t="s">
        <v>103</v>
      </c>
      <c r="AZ641" t="s">
        <v>212</v>
      </c>
      <c r="BA641" t="s">
        <v>142</v>
      </c>
      <c r="BB641">
        <v>22</v>
      </c>
      <c r="BC641">
        <v>27</v>
      </c>
      <c r="BD641">
        <v>1</v>
      </c>
      <c r="BE641" t="s">
        <v>111</v>
      </c>
      <c r="BF641">
        <v>1</v>
      </c>
      <c r="BH641">
        <v>96</v>
      </c>
      <c r="BI641">
        <v>5</v>
      </c>
      <c r="BJ641">
        <v>3</v>
      </c>
      <c r="BM641">
        <v>7.52</v>
      </c>
      <c r="BO641">
        <v>8.1300000000000008</v>
      </c>
      <c r="BP641">
        <v>14</v>
      </c>
      <c r="BU641" t="s">
        <v>1398</v>
      </c>
      <c r="BV641">
        <v>35.1</v>
      </c>
      <c r="BW641">
        <v>0.40816330000000001</v>
      </c>
      <c r="BX641">
        <v>15</v>
      </c>
      <c r="BY641">
        <v>35</v>
      </c>
      <c r="BZ641">
        <v>0.45918369999999997</v>
      </c>
      <c r="CA641">
        <v>15</v>
      </c>
      <c r="CB641" t="s">
        <v>215</v>
      </c>
      <c r="CC641" t="s">
        <v>1397</v>
      </c>
    </row>
    <row r="642" spans="1:81" x14ac:dyDescent="0.25">
      <c r="A642" t="s">
        <v>81</v>
      </c>
      <c r="B642">
        <v>641</v>
      </c>
      <c r="C642">
        <v>124</v>
      </c>
      <c r="D642">
        <v>111</v>
      </c>
      <c r="E642">
        <v>127</v>
      </c>
      <c r="F642">
        <v>130</v>
      </c>
      <c r="G642">
        <v>375</v>
      </c>
      <c r="H642">
        <v>531</v>
      </c>
      <c r="J642" t="s">
        <v>691</v>
      </c>
      <c r="M642" t="s">
        <v>85</v>
      </c>
      <c r="O642" t="s">
        <v>14</v>
      </c>
      <c r="P642" t="s">
        <v>1391</v>
      </c>
      <c r="Q642" t="s">
        <v>1392</v>
      </c>
      <c r="R642">
        <v>2014</v>
      </c>
      <c r="S642" t="s">
        <v>1393</v>
      </c>
      <c r="U642" t="s">
        <v>1394</v>
      </c>
      <c r="V642" t="s">
        <v>1395</v>
      </c>
      <c r="W642" t="s">
        <v>1380</v>
      </c>
      <c r="X642" t="s">
        <v>1381</v>
      </c>
      <c r="Y642" t="s">
        <v>1382</v>
      </c>
      <c r="Z642" t="s">
        <v>1383</v>
      </c>
      <c r="AA642" t="s">
        <v>1384</v>
      </c>
      <c r="AB642" t="s">
        <v>1399</v>
      </c>
      <c r="AC642" t="s">
        <v>1400</v>
      </c>
      <c r="AD642" t="s">
        <v>132</v>
      </c>
      <c r="AE642" t="s">
        <v>316</v>
      </c>
      <c r="AF642" t="s">
        <v>260</v>
      </c>
      <c r="AG642" t="s">
        <v>102</v>
      </c>
      <c r="AH642" t="s">
        <v>102</v>
      </c>
      <c r="AI642" t="s">
        <v>134</v>
      </c>
      <c r="AJ642" t="s">
        <v>104</v>
      </c>
      <c r="AM642" t="s">
        <v>136</v>
      </c>
      <c r="AN642" t="s">
        <v>106</v>
      </c>
      <c r="AT642">
        <v>0.59</v>
      </c>
      <c r="AV642">
        <f>5*7</f>
        <v>35</v>
      </c>
      <c r="AW642" t="s">
        <v>108</v>
      </c>
      <c r="AX642">
        <v>18</v>
      </c>
      <c r="AY642" t="s">
        <v>103</v>
      </c>
      <c r="AZ642" t="s">
        <v>212</v>
      </c>
      <c r="BA642" t="s">
        <v>142</v>
      </c>
      <c r="BB642">
        <v>22</v>
      </c>
      <c r="BC642">
        <v>27</v>
      </c>
      <c r="BD642">
        <v>1</v>
      </c>
      <c r="BE642" t="s">
        <v>111</v>
      </c>
      <c r="BF642">
        <v>1</v>
      </c>
      <c r="BH642">
        <v>96</v>
      </c>
      <c r="BI642">
        <v>5</v>
      </c>
      <c r="BJ642">
        <v>3</v>
      </c>
      <c r="BM642">
        <v>7.52</v>
      </c>
      <c r="BO642">
        <v>8.1300000000000008</v>
      </c>
      <c r="BP642">
        <v>14</v>
      </c>
      <c r="BU642" t="s">
        <v>1401</v>
      </c>
      <c r="BV642">
        <v>36.799999999999997</v>
      </c>
      <c r="BW642">
        <v>0.56122450000000002</v>
      </c>
      <c r="BX642">
        <v>15</v>
      </c>
      <c r="BY642">
        <v>35.5</v>
      </c>
      <c r="BZ642">
        <v>0.255102</v>
      </c>
      <c r="CA642">
        <v>15</v>
      </c>
      <c r="CB642" t="s">
        <v>215</v>
      </c>
      <c r="CC642" t="s">
        <v>1397</v>
      </c>
    </row>
    <row r="643" spans="1:81" x14ac:dyDescent="0.25">
      <c r="A643" t="s">
        <v>81</v>
      </c>
      <c r="B643">
        <v>642</v>
      </c>
      <c r="C643">
        <v>124</v>
      </c>
      <c r="D643">
        <v>111</v>
      </c>
      <c r="E643">
        <v>127</v>
      </c>
      <c r="F643">
        <v>130</v>
      </c>
      <c r="G643">
        <v>376</v>
      </c>
      <c r="H643">
        <v>532</v>
      </c>
      <c r="J643" t="s">
        <v>691</v>
      </c>
      <c r="M643" t="s">
        <v>85</v>
      </c>
      <c r="O643" t="s">
        <v>14</v>
      </c>
      <c r="P643" t="s">
        <v>1391</v>
      </c>
      <c r="Q643" t="s">
        <v>1392</v>
      </c>
      <c r="R643">
        <v>2014</v>
      </c>
      <c r="S643" t="s">
        <v>1393</v>
      </c>
      <c r="U643" t="s">
        <v>1394</v>
      </c>
      <c r="V643" t="s">
        <v>1395</v>
      </c>
      <c r="W643" t="s">
        <v>1380</v>
      </c>
      <c r="X643" t="s">
        <v>1381</v>
      </c>
      <c r="Y643" t="s">
        <v>1382</v>
      </c>
      <c r="Z643" t="s">
        <v>1383</v>
      </c>
      <c r="AA643" t="s">
        <v>1384</v>
      </c>
      <c r="AB643" t="s">
        <v>1399</v>
      </c>
      <c r="AC643" t="s">
        <v>1400</v>
      </c>
      <c r="AD643" t="s">
        <v>132</v>
      </c>
      <c r="AE643" t="s">
        <v>316</v>
      </c>
      <c r="AF643" t="s">
        <v>260</v>
      </c>
      <c r="AG643" t="s">
        <v>102</v>
      </c>
      <c r="AH643" t="s">
        <v>102</v>
      </c>
      <c r="AI643" t="s">
        <v>134</v>
      </c>
      <c r="AJ643" t="s">
        <v>104</v>
      </c>
      <c r="AM643" t="s">
        <v>136</v>
      </c>
      <c r="AN643" t="s">
        <v>106</v>
      </c>
      <c r="AT643">
        <v>3.09</v>
      </c>
      <c r="AV643">
        <v>122</v>
      </c>
      <c r="AW643" t="s">
        <v>108</v>
      </c>
      <c r="AX643">
        <v>18</v>
      </c>
      <c r="AY643" t="s">
        <v>103</v>
      </c>
      <c r="AZ643" t="s">
        <v>212</v>
      </c>
      <c r="BA643" t="s">
        <v>142</v>
      </c>
      <c r="BB643">
        <v>22</v>
      </c>
      <c r="BC643">
        <v>27</v>
      </c>
      <c r="BD643">
        <v>1</v>
      </c>
      <c r="BE643" t="s">
        <v>111</v>
      </c>
      <c r="BF643">
        <v>1</v>
      </c>
      <c r="BH643">
        <v>96</v>
      </c>
      <c r="BI643">
        <v>5</v>
      </c>
      <c r="BJ643">
        <v>3</v>
      </c>
      <c r="BM643">
        <v>7.52</v>
      </c>
      <c r="BO643">
        <v>8.1300000000000008</v>
      </c>
      <c r="BP643">
        <v>14</v>
      </c>
      <c r="BU643" t="s">
        <v>1398</v>
      </c>
      <c r="BV643">
        <v>35.1</v>
      </c>
      <c r="BW643">
        <v>0.61224489999999998</v>
      </c>
      <c r="BX643">
        <v>15</v>
      </c>
      <c r="BY643">
        <v>35.5</v>
      </c>
      <c r="BZ643">
        <v>0.35714289999999999</v>
      </c>
      <c r="CA643">
        <v>15</v>
      </c>
      <c r="CB643" t="s">
        <v>215</v>
      </c>
      <c r="CC643" t="s">
        <v>1397</v>
      </c>
    </row>
    <row r="644" spans="1:81" x14ac:dyDescent="0.25">
      <c r="A644" t="s">
        <v>81</v>
      </c>
      <c r="B644">
        <v>643</v>
      </c>
      <c r="C644">
        <v>124</v>
      </c>
      <c r="D644">
        <v>112</v>
      </c>
      <c r="E644">
        <v>128</v>
      </c>
      <c r="F644">
        <v>131</v>
      </c>
      <c r="G644">
        <v>377</v>
      </c>
      <c r="H644">
        <v>533</v>
      </c>
      <c r="J644" t="s">
        <v>691</v>
      </c>
      <c r="M644" t="s">
        <v>85</v>
      </c>
      <c r="O644" t="s">
        <v>14</v>
      </c>
      <c r="P644" t="s">
        <v>1391</v>
      </c>
      <c r="Q644" t="s">
        <v>1392</v>
      </c>
      <c r="R644">
        <v>2014</v>
      </c>
      <c r="S644" t="s">
        <v>1393</v>
      </c>
      <c r="U644" t="s">
        <v>1394</v>
      </c>
      <c r="V644" t="s">
        <v>1395</v>
      </c>
      <c r="W644" t="s">
        <v>1380</v>
      </c>
      <c r="X644" t="s">
        <v>1381</v>
      </c>
      <c r="Y644" t="s">
        <v>1382</v>
      </c>
      <c r="Z644" t="s">
        <v>1383</v>
      </c>
      <c r="AA644" t="s">
        <v>1384</v>
      </c>
      <c r="AB644" t="s">
        <v>1402</v>
      </c>
      <c r="AC644" t="s">
        <v>1403</v>
      </c>
      <c r="AD644" t="s">
        <v>132</v>
      </c>
      <c r="AE644" t="s">
        <v>316</v>
      </c>
      <c r="AF644" t="s">
        <v>260</v>
      </c>
      <c r="AG644" t="s">
        <v>102</v>
      </c>
      <c r="AH644" t="s">
        <v>102</v>
      </c>
      <c r="AI644" t="s">
        <v>134</v>
      </c>
      <c r="AJ644" t="s">
        <v>104</v>
      </c>
      <c r="AM644" t="s">
        <v>136</v>
      </c>
      <c r="AN644" t="s">
        <v>106</v>
      </c>
      <c r="AT644">
        <v>4</v>
      </c>
      <c r="AV644">
        <v>122</v>
      </c>
      <c r="AW644" t="s">
        <v>108</v>
      </c>
      <c r="AX644">
        <v>18</v>
      </c>
      <c r="AY644" t="s">
        <v>103</v>
      </c>
      <c r="AZ644" t="s">
        <v>212</v>
      </c>
      <c r="BA644" t="s">
        <v>142</v>
      </c>
      <c r="BB644">
        <v>22</v>
      </c>
      <c r="BC644">
        <v>27</v>
      </c>
      <c r="BD644">
        <v>1</v>
      </c>
      <c r="BE644" t="s">
        <v>111</v>
      </c>
      <c r="BF644">
        <v>1</v>
      </c>
      <c r="BH644">
        <v>96</v>
      </c>
      <c r="BI644">
        <v>5</v>
      </c>
      <c r="BJ644">
        <v>3</v>
      </c>
      <c r="BM644">
        <v>7.52</v>
      </c>
      <c r="BO644">
        <v>8.1300000000000008</v>
      </c>
      <c r="BP644">
        <v>14</v>
      </c>
      <c r="BU644" t="s">
        <v>1398</v>
      </c>
      <c r="BV644">
        <v>35.4</v>
      </c>
      <c r="BW644">
        <v>0.66326529999999995</v>
      </c>
      <c r="BX644">
        <v>15</v>
      </c>
      <c r="BY644">
        <v>35.299999999999997</v>
      </c>
      <c r="BZ644">
        <v>0.2040816</v>
      </c>
      <c r="CA644">
        <v>15</v>
      </c>
      <c r="CB644" t="s">
        <v>215</v>
      </c>
      <c r="CC644" t="s">
        <v>1397</v>
      </c>
    </row>
    <row r="645" spans="1:81" x14ac:dyDescent="0.25">
      <c r="A645" t="s">
        <v>81</v>
      </c>
      <c r="B645">
        <v>644</v>
      </c>
      <c r="C645">
        <v>124</v>
      </c>
      <c r="D645">
        <v>112</v>
      </c>
      <c r="E645">
        <v>128</v>
      </c>
      <c r="F645">
        <v>131</v>
      </c>
      <c r="G645">
        <v>378</v>
      </c>
      <c r="H645">
        <v>534</v>
      </c>
      <c r="J645" t="s">
        <v>691</v>
      </c>
      <c r="M645" t="s">
        <v>85</v>
      </c>
      <c r="O645" t="s">
        <v>14</v>
      </c>
      <c r="P645" t="s">
        <v>1391</v>
      </c>
      <c r="Q645" t="s">
        <v>1392</v>
      </c>
      <c r="R645">
        <v>2014</v>
      </c>
      <c r="S645" t="s">
        <v>1393</v>
      </c>
      <c r="U645" t="s">
        <v>1394</v>
      </c>
      <c r="V645" t="s">
        <v>1395</v>
      </c>
      <c r="W645" t="s">
        <v>1380</v>
      </c>
      <c r="X645" t="s">
        <v>1381</v>
      </c>
      <c r="Y645" t="s">
        <v>1382</v>
      </c>
      <c r="Z645" t="s">
        <v>1383</v>
      </c>
      <c r="AA645" t="s">
        <v>1384</v>
      </c>
      <c r="AB645" t="s">
        <v>1402</v>
      </c>
      <c r="AC645" t="s">
        <v>1403</v>
      </c>
      <c r="AD645" t="s">
        <v>132</v>
      </c>
      <c r="AE645" t="s">
        <v>316</v>
      </c>
      <c r="AF645" t="s">
        <v>260</v>
      </c>
      <c r="AG645" t="s">
        <v>102</v>
      </c>
      <c r="AH645" t="s">
        <v>102</v>
      </c>
      <c r="AI645" t="s">
        <v>134</v>
      </c>
      <c r="AJ645" t="s">
        <v>104</v>
      </c>
      <c r="AM645" t="s">
        <v>136</v>
      </c>
      <c r="AN645" t="s">
        <v>106</v>
      </c>
      <c r="AT645">
        <v>4</v>
      </c>
      <c r="AV645">
        <v>122</v>
      </c>
      <c r="AW645" t="s">
        <v>108</v>
      </c>
      <c r="AX645">
        <v>18</v>
      </c>
      <c r="AY645" t="s">
        <v>103</v>
      </c>
      <c r="AZ645" t="s">
        <v>212</v>
      </c>
      <c r="BA645" t="s">
        <v>142</v>
      </c>
      <c r="BB645">
        <v>22</v>
      </c>
      <c r="BC645">
        <v>27</v>
      </c>
      <c r="BD645">
        <v>1</v>
      </c>
      <c r="BE645" t="s">
        <v>111</v>
      </c>
      <c r="BF645">
        <v>1</v>
      </c>
      <c r="BH645">
        <v>96</v>
      </c>
      <c r="BI645">
        <v>5</v>
      </c>
      <c r="BJ645">
        <v>3</v>
      </c>
      <c r="BM645">
        <v>7.52</v>
      </c>
      <c r="BO645">
        <v>8.1300000000000008</v>
      </c>
      <c r="BP645">
        <v>14</v>
      </c>
      <c r="BU645" t="s">
        <v>1404</v>
      </c>
      <c r="BV645">
        <v>33.299999999999997</v>
      </c>
      <c r="BW645">
        <v>0.45918369999999997</v>
      </c>
      <c r="BX645">
        <v>15</v>
      </c>
      <c r="BY645">
        <v>36</v>
      </c>
      <c r="BZ645">
        <v>0.255102</v>
      </c>
      <c r="CA645">
        <v>15</v>
      </c>
      <c r="CB645" t="s">
        <v>215</v>
      </c>
      <c r="CC645" t="s">
        <v>1397</v>
      </c>
    </row>
    <row r="646" spans="1:81" x14ac:dyDescent="0.25">
      <c r="A646" t="s">
        <v>81</v>
      </c>
      <c r="B646">
        <v>645</v>
      </c>
      <c r="C646">
        <v>124</v>
      </c>
      <c r="D646">
        <v>113</v>
      </c>
      <c r="E646">
        <v>129</v>
      </c>
      <c r="F646">
        <v>132</v>
      </c>
      <c r="G646">
        <v>379</v>
      </c>
      <c r="H646">
        <v>535</v>
      </c>
      <c r="J646" t="s">
        <v>691</v>
      </c>
      <c r="M646" t="s">
        <v>85</v>
      </c>
      <c r="O646" t="s">
        <v>14</v>
      </c>
      <c r="P646" t="s">
        <v>1391</v>
      </c>
      <c r="Q646" t="s">
        <v>1392</v>
      </c>
      <c r="R646">
        <v>2014</v>
      </c>
      <c r="S646" t="s">
        <v>1393</v>
      </c>
      <c r="U646" t="s">
        <v>1394</v>
      </c>
      <c r="V646" t="s">
        <v>1395</v>
      </c>
      <c r="W646" t="s">
        <v>1380</v>
      </c>
      <c r="X646" t="s">
        <v>1381</v>
      </c>
      <c r="Y646" t="s">
        <v>1382</v>
      </c>
      <c r="Z646" t="s">
        <v>1383</v>
      </c>
      <c r="AA646" t="s">
        <v>1405</v>
      </c>
      <c r="AB646" t="s">
        <v>1406</v>
      </c>
      <c r="AC646" t="s">
        <v>1407</v>
      </c>
      <c r="AD646" t="s">
        <v>132</v>
      </c>
      <c r="AE646" t="s">
        <v>316</v>
      </c>
      <c r="AF646" t="s">
        <v>260</v>
      </c>
      <c r="AG646" t="s">
        <v>102</v>
      </c>
      <c r="AH646" t="s">
        <v>102</v>
      </c>
      <c r="AI646" t="s">
        <v>134</v>
      </c>
      <c r="AJ646" t="s">
        <v>104</v>
      </c>
      <c r="AM646" t="s">
        <v>136</v>
      </c>
      <c r="AN646" t="s">
        <v>106</v>
      </c>
      <c r="AT646">
        <v>0.59</v>
      </c>
      <c r="AV646">
        <f>5*7</f>
        <v>35</v>
      </c>
      <c r="AW646" t="s">
        <v>108</v>
      </c>
      <c r="AX646">
        <v>18</v>
      </c>
      <c r="AY646" t="s">
        <v>103</v>
      </c>
      <c r="AZ646" t="s">
        <v>212</v>
      </c>
      <c r="BA646" t="s">
        <v>142</v>
      </c>
      <c r="BB646">
        <v>22</v>
      </c>
      <c r="BC646">
        <v>27</v>
      </c>
      <c r="BD646">
        <v>1</v>
      </c>
      <c r="BE646" t="s">
        <v>111</v>
      </c>
      <c r="BF646">
        <v>1</v>
      </c>
      <c r="BH646">
        <v>96</v>
      </c>
      <c r="BI646">
        <v>5</v>
      </c>
      <c r="BJ646">
        <v>3</v>
      </c>
      <c r="BM646">
        <v>7.52</v>
      </c>
      <c r="BO646">
        <v>8.1300000000000008</v>
      </c>
      <c r="BP646">
        <v>14</v>
      </c>
      <c r="BU646" t="s">
        <v>1408</v>
      </c>
      <c r="BV646">
        <v>36.4</v>
      </c>
      <c r="BW646">
        <v>0.255102</v>
      </c>
      <c r="BX646">
        <v>15</v>
      </c>
      <c r="BY646">
        <v>36.4</v>
      </c>
      <c r="BZ646">
        <v>0.35714289999999999</v>
      </c>
      <c r="CA646">
        <v>15</v>
      </c>
      <c r="CB646" t="s">
        <v>215</v>
      </c>
      <c r="CC646" t="s">
        <v>1397</v>
      </c>
    </row>
    <row r="647" spans="1:81" x14ac:dyDescent="0.25">
      <c r="A647" t="s">
        <v>81</v>
      </c>
      <c r="B647">
        <v>646</v>
      </c>
      <c r="C647">
        <v>125</v>
      </c>
      <c r="D647">
        <v>32</v>
      </c>
      <c r="E647">
        <v>130</v>
      </c>
      <c r="F647">
        <v>133</v>
      </c>
      <c r="G647">
        <v>380</v>
      </c>
      <c r="H647">
        <v>536</v>
      </c>
      <c r="I647" t="s">
        <v>1409</v>
      </c>
      <c r="J647" t="s">
        <v>691</v>
      </c>
      <c r="M647" t="s">
        <v>85</v>
      </c>
      <c r="O647" t="s">
        <v>14</v>
      </c>
      <c r="P647" t="s">
        <v>1410</v>
      </c>
      <c r="Q647" t="s">
        <v>1411</v>
      </c>
      <c r="R647">
        <v>1994</v>
      </c>
      <c r="S647" t="s">
        <v>494</v>
      </c>
      <c r="U647" t="s">
        <v>1412</v>
      </c>
      <c r="V647" t="s">
        <v>1413</v>
      </c>
      <c r="W647" t="s">
        <v>91</v>
      </c>
      <c r="X647" t="s">
        <v>126</v>
      </c>
      <c r="Y647" t="s">
        <v>190</v>
      </c>
      <c r="Z647" t="s">
        <v>191</v>
      </c>
      <c r="AA647" t="s">
        <v>496</v>
      </c>
      <c r="AB647" t="s">
        <v>497</v>
      </c>
      <c r="AC647" t="s">
        <v>498</v>
      </c>
      <c r="AD647" t="s">
        <v>132</v>
      </c>
      <c r="AE647" t="s">
        <v>133</v>
      </c>
      <c r="AF647" t="s">
        <v>100</v>
      </c>
      <c r="AG647" t="s">
        <v>102</v>
      </c>
      <c r="AH647" t="s">
        <v>102</v>
      </c>
      <c r="AI647" t="s">
        <v>134</v>
      </c>
      <c r="AJ647" t="s">
        <v>135</v>
      </c>
      <c r="AM647" t="s">
        <v>136</v>
      </c>
      <c r="AN647" t="s">
        <v>242</v>
      </c>
      <c r="AR647" t="s">
        <v>179</v>
      </c>
      <c r="AT647">
        <v>14</v>
      </c>
      <c r="AW647" t="s">
        <v>108</v>
      </c>
      <c r="AX647">
        <v>5</v>
      </c>
      <c r="AY647" t="s">
        <v>134</v>
      </c>
      <c r="AZ647" t="s">
        <v>109</v>
      </c>
      <c r="BA647" t="s">
        <v>138</v>
      </c>
      <c r="BB647">
        <v>5</v>
      </c>
      <c r="BC647">
        <v>10</v>
      </c>
      <c r="BE647" t="s">
        <v>139</v>
      </c>
      <c r="BF647">
        <v>3.5</v>
      </c>
      <c r="BG647">
        <f t="shared" ref="BG647:BG670" si="30">1/30</f>
        <v>3.3333333333333333E-2</v>
      </c>
      <c r="BS647" t="s">
        <v>230</v>
      </c>
      <c r="BU647" t="s">
        <v>1414</v>
      </c>
      <c r="BV647">
        <v>22.97</v>
      </c>
      <c r="BW647">
        <v>1.396245</v>
      </c>
      <c r="BX647">
        <v>12</v>
      </c>
      <c r="BY647">
        <v>25.31</v>
      </c>
      <c r="BZ647">
        <v>0.56469239999999998</v>
      </c>
      <c r="CA647">
        <v>10</v>
      </c>
      <c r="CB647" t="s">
        <v>113</v>
      </c>
      <c r="CC647" t="s">
        <v>1415</v>
      </c>
    </row>
    <row r="648" spans="1:81" x14ac:dyDescent="0.25">
      <c r="A648" t="s">
        <v>81</v>
      </c>
      <c r="B648">
        <v>647</v>
      </c>
      <c r="C648">
        <v>125</v>
      </c>
      <c r="D648">
        <v>32</v>
      </c>
      <c r="E648">
        <v>130</v>
      </c>
      <c r="F648">
        <v>133</v>
      </c>
      <c r="G648">
        <v>380</v>
      </c>
      <c r="H648">
        <v>537</v>
      </c>
      <c r="I648" t="s">
        <v>1409</v>
      </c>
      <c r="J648" t="s">
        <v>691</v>
      </c>
      <c r="M648" t="s">
        <v>85</v>
      </c>
      <c r="O648" t="s">
        <v>14</v>
      </c>
      <c r="P648" t="s">
        <v>1410</v>
      </c>
      <c r="Q648" t="s">
        <v>1411</v>
      </c>
      <c r="R648">
        <v>1994</v>
      </c>
      <c r="S648" t="s">
        <v>494</v>
      </c>
      <c r="U648" t="s">
        <v>1412</v>
      </c>
      <c r="V648" t="s">
        <v>1413</v>
      </c>
      <c r="W648" t="s">
        <v>91</v>
      </c>
      <c r="X648" t="s">
        <v>126</v>
      </c>
      <c r="Y648" t="s">
        <v>190</v>
      </c>
      <c r="Z648" t="s">
        <v>191</v>
      </c>
      <c r="AA648" t="s">
        <v>496</v>
      </c>
      <c r="AB648" t="s">
        <v>497</v>
      </c>
      <c r="AC648" t="s">
        <v>498</v>
      </c>
      <c r="AD648" t="s">
        <v>132</v>
      </c>
      <c r="AE648" t="s">
        <v>133</v>
      </c>
      <c r="AF648" t="s">
        <v>100</v>
      </c>
      <c r="AG648" t="s">
        <v>102</v>
      </c>
      <c r="AH648" t="s">
        <v>102</v>
      </c>
      <c r="AI648" t="s">
        <v>134</v>
      </c>
      <c r="AJ648" t="s">
        <v>135</v>
      </c>
      <c r="AM648" t="s">
        <v>136</v>
      </c>
      <c r="AN648" t="s">
        <v>242</v>
      </c>
      <c r="AR648" t="s">
        <v>179</v>
      </c>
      <c r="AT648">
        <v>14</v>
      </c>
      <c r="AW648" t="s">
        <v>108</v>
      </c>
      <c r="AX648">
        <v>5</v>
      </c>
      <c r="AY648" t="s">
        <v>103</v>
      </c>
      <c r="AZ648" t="s">
        <v>109</v>
      </c>
      <c r="BA648" t="s">
        <v>138</v>
      </c>
      <c r="BB648">
        <v>10</v>
      </c>
      <c r="BC648">
        <v>15</v>
      </c>
      <c r="BE648" t="s">
        <v>139</v>
      </c>
      <c r="BF648">
        <v>3.5</v>
      </c>
      <c r="BG648">
        <f t="shared" si="30"/>
        <v>3.3333333333333333E-2</v>
      </c>
      <c r="BU648" t="s">
        <v>1416</v>
      </c>
      <c r="BV648">
        <v>25.31</v>
      </c>
      <c r="BW648">
        <v>0.56469239999999998</v>
      </c>
      <c r="BX648">
        <v>10</v>
      </c>
      <c r="BY648">
        <v>25.24</v>
      </c>
      <c r="BZ648">
        <v>0.4771977</v>
      </c>
      <c r="CA648">
        <v>12</v>
      </c>
      <c r="CB648" t="s">
        <v>113</v>
      </c>
      <c r="CC648" t="s">
        <v>1415</v>
      </c>
    </row>
    <row r="649" spans="1:81" x14ac:dyDescent="0.25">
      <c r="A649" t="s">
        <v>81</v>
      </c>
      <c r="B649">
        <v>648</v>
      </c>
      <c r="C649">
        <v>125</v>
      </c>
      <c r="D649">
        <v>32</v>
      </c>
      <c r="E649">
        <v>130</v>
      </c>
      <c r="F649">
        <v>133</v>
      </c>
      <c r="G649">
        <v>380</v>
      </c>
      <c r="H649">
        <v>538</v>
      </c>
      <c r="I649" t="s">
        <v>1409</v>
      </c>
      <c r="J649" t="s">
        <v>691</v>
      </c>
      <c r="M649" t="s">
        <v>85</v>
      </c>
      <c r="O649" t="s">
        <v>14</v>
      </c>
      <c r="P649" t="s">
        <v>1410</v>
      </c>
      <c r="Q649" t="s">
        <v>1411</v>
      </c>
      <c r="R649">
        <v>1994</v>
      </c>
      <c r="S649" t="s">
        <v>494</v>
      </c>
      <c r="U649" t="s">
        <v>1412</v>
      </c>
      <c r="V649" t="s">
        <v>1413</v>
      </c>
      <c r="W649" t="s">
        <v>91</v>
      </c>
      <c r="X649" t="s">
        <v>126</v>
      </c>
      <c r="Y649" t="s">
        <v>190</v>
      </c>
      <c r="Z649" t="s">
        <v>191</v>
      </c>
      <c r="AA649" t="s">
        <v>496</v>
      </c>
      <c r="AB649" t="s">
        <v>497</v>
      </c>
      <c r="AC649" t="s">
        <v>498</v>
      </c>
      <c r="AD649" t="s">
        <v>132</v>
      </c>
      <c r="AE649" t="s">
        <v>133</v>
      </c>
      <c r="AF649" t="s">
        <v>100</v>
      </c>
      <c r="AG649" t="s">
        <v>102</v>
      </c>
      <c r="AH649" t="s">
        <v>102</v>
      </c>
      <c r="AI649" t="s">
        <v>134</v>
      </c>
      <c r="AJ649" t="s">
        <v>135</v>
      </c>
      <c r="AM649" t="s">
        <v>136</v>
      </c>
      <c r="AN649" t="s">
        <v>242</v>
      </c>
      <c r="AR649" t="s">
        <v>179</v>
      </c>
      <c r="AT649">
        <v>14</v>
      </c>
      <c r="AW649" t="s">
        <v>108</v>
      </c>
      <c r="AX649">
        <v>5</v>
      </c>
      <c r="AY649" t="s">
        <v>103</v>
      </c>
      <c r="AZ649" t="s">
        <v>109</v>
      </c>
      <c r="BA649" t="s">
        <v>138</v>
      </c>
      <c r="BB649">
        <v>15</v>
      </c>
      <c r="BC649">
        <v>20</v>
      </c>
      <c r="BE649" t="s">
        <v>139</v>
      </c>
      <c r="BF649">
        <v>3.5</v>
      </c>
      <c r="BG649">
        <f t="shared" si="30"/>
        <v>3.3333333333333333E-2</v>
      </c>
      <c r="BU649" t="s">
        <v>1417</v>
      </c>
      <c r="BV649">
        <v>25.24</v>
      </c>
      <c r="BW649">
        <v>0.4771977</v>
      </c>
      <c r="BX649">
        <v>12</v>
      </c>
      <c r="BY649">
        <v>26.29</v>
      </c>
      <c r="BZ649">
        <v>0.58324160000000003</v>
      </c>
      <c r="CA649">
        <v>12</v>
      </c>
      <c r="CB649" t="s">
        <v>113</v>
      </c>
      <c r="CC649" t="s">
        <v>1415</v>
      </c>
    </row>
    <row r="650" spans="1:81" x14ac:dyDescent="0.25">
      <c r="A650" t="s">
        <v>81</v>
      </c>
      <c r="B650">
        <v>649</v>
      </c>
      <c r="C650">
        <v>125</v>
      </c>
      <c r="D650">
        <v>32</v>
      </c>
      <c r="E650">
        <v>130</v>
      </c>
      <c r="F650">
        <v>133</v>
      </c>
      <c r="G650">
        <v>381</v>
      </c>
      <c r="H650">
        <v>539</v>
      </c>
      <c r="I650" t="s">
        <v>1409</v>
      </c>
      <c r="J650" t="s">
        <v>691</v>
      </c>
      <c r="M650" t="s">
        <v>85</v>
      </c>
      <c r="O650" t="s">
        <v>14</v>
      </c>
      <c r="P650" t="s">
        <v>1410</v>
      </c>
      <c r="Q650" t="s">
        <v>1411</v>
      </c>
      <c r="R650">
        <v>1994</v>
      </c>
      <c r="S650" t="s">
        <v>494</v>
      </c>
      <c r="U650" t="s">
        <v>1412</v>
      </c>
      <c r="V650" t="s">
        <v>1413</v>
      </c>
      <c r="W650" t="s">
        <v>91</v>
      </c>
      <c r="X650" t="s">
        <v>126</v>
      </c>
      <c r="Y650" t="s">
        <v>190</v>
      </c>
      <c r="Z650" t="s">
        <v>191</v>
      </c>
      <c r="AA650" t="s">
        <v>496</v>
      </c>
      <c r="AB650" t="s">
        <v>497</v>
      </c>
      <c r="AC650" t="s">
        <v>498</v>
      </c>
      <c r="AD650" t="s">
        <v>132</v>
      </c>
      <c r="AE650" t="s">
        <v>133</v>
      </c>
      <c r="AF650" t="s">
        <v>100</v>
      </c>
      <c r="AG650" t="s">
        <v>102</v>
      </c>
      <c r="AH650" t="s">
        <v>102</v>
      </c>
      <c r="AI650" t="s">
        <v>134</v>
      </c>
      <c r="AJ650" t="s">
        <v>135</v>
      </c>
      <c r="AM650" t="s">
        <v>136</v>
      </c>
      <c r="AN650" t="s">
        <v>242</v>
      </c>
      <c r="AR650" t="s">
        <v>179</v>
      </c>
      <c r="AT650">
        <v>18</v>
      </c>
      <c r="AW650" t="s">
        <v>108</v>
      </c>
      <c r="AX650">
        <v>5</v>
      </c>
      <c r="AY650" t="s">
        <v>134</v>
      </c>
      <c r="AZ650" t="s">
        <v>109</v>
      </c>
      <c r="BA650" t="s">
        <v>138</v>
      </c>
      <c r="BB650">
        <v>5</v>
      </c>
      <c r="BC650">
        <v>10</v>
      </c>
      <c r="BE650" t="s">
        <v>139</v>
      </c>
      <c r="BF650">
        <v>3.5</v>
      </c>
      <c r="BG650">
        <f t="shared" si="30"/>
        <v>3.3333333333333333E-2</v>
      </c>
      <c r="BS650" t="s">
        <v>230</v>
      </c>
      <c r="BU650" t="s">
        <v>1418</v>
      </c>
      <c r="BV650">
        <v>25.34</v>
      </c>
      <c r="BW650">
        <v>0.49487170000000003</v>
      </c>
      <c r="BX650">
        <v>12</v>
      </c>
      <c r="BY650">
        <v>24.3</v>
      </c>
      <c r="BZ650">
        <v>1.979487</v>
      </c>
      <c r="CA650">
        <v>12</v>
      </c>
      <c r="CB650" t="s">
        <v>113</v>
      </c>
      <c r="CC650" t="s">
        <v>1415</v>
      </c>
    </row>
    <row r="651" spans="1:81" x14ac:dyDescent="0.25">
      <c r="A651" t="s">
        <v>81</v>
      </c>
      <c r="B651">
        <v>650</v>
      </c>
      <c r="C651">
        <v>125</v>
      </c>
      <c r="D651">
        <v>32</v>
      </c>
      <c r="E651">
        <v>130</v>
      </c>
      <c r="F651">
        <v>133</v>
      </c>
      <c r="G651">
        <v>381</v>
      </c>
      <c r="H651">
        <v>540</v>
      </c>
      <c r="I651" t="s">
        <v>1409</v>
      </c>
      <c r="J651" t="s">
        <v>691</v>
      </c>
      <c r="M651" t="s">
        <v>85</v>
      </c>
      <c r="O651" t="s">
        <v>14</v>
      </c>
      <c r="P651" t="s">
        <v>1410</v>
      </c>
      <c r="Q651" t="s">
        <v>1411</v>
      </c>
      <c r="R651">
        <v>1994</v>
      </c>
      <c r="S651" t="s">
        <v>494</v>
      </c>
      <c r="U651" t="s">
        <v>1412</v>
      </c>
      <c r="V651" t="s">
        <v>1413</v>
      </c>
      <c r="W651" t="s">
        <v>91</v>
      </c>
      <c r="X651" t="s">
        <v>126</v>
      </c>
      <c r="Y651" t="s">
        <v>190</v>
      </c>
      <c r="Z651" t="s">
        <v>191</v>
      </c>
      <c r="AA651" t="s">
        <v>496</v>
      </c>
      <c r="AB651" t="s">
        <v>497</v>
      </c>
      <c r="AC651" t="s">
        <v>498</v>
      </c>
      <c r="AD651" t="s">
        <v>132</v>
      </c>
      <c r="AE651" t="s">
        <v>133</v>
      </c>
      <c r="AF651" t="s">
        <v>100</v>
      </c>
      <c r="AG651" t="s">
        <v>102</v>
      </c>
      <c r="AH651" t="s">
        <v>102</v>
      </c>
      <c r="AI651" t="s">
        <v>134</v>
      </c>
      <c r="AJ651" t="s">
        <v>135</v>
      </c>
      <c r="AM651" t="s">
        <v>136</v>
      </c>
      <c r="AN651" t="s">
        <v>242</v>
      </c>
      <c r="AR651" t="s">
        <v>179</v>
      </c>
      <c r="AT651">
        <v>18</v>
      </c>
      <c r="AW651" t="s">
        <v>108</v>
      </c>
      <c r="AX651">
        <v>5</v>
      </c>
      <c r="AY651" t="s">
        <v>103</v>
      </c>
      <c r="AZ651" t="s">
        <v>109</v>
      </c>
      <c r="BA651" t="s">
        <v>138</v>
      </c>
      <c r="BB651">
        <v>10</v>
      </c>
      <c r="BC651">
        <v>15</v>
      </c>
      <c r="BE651" t="s">
        <v>139</v>
      </c>
      <c r="BF651">
        <v>3.5</v>
      </c>
      <c r="BG651">
        <f t="shared" si="30"/>
        <v>3.3333333333333333E-2</v>
      </c>
      <c r="BU651" t="s">
        <v>1419</v>
      </c>
      <c r="BV651">
        <v>24.3</v>
      </c>
      <c r="BW651">
        <v>1.979487</v>
      </c>
      <c r="BX651">
        <v>12</v>
      </c>
      <c r="BY651">
        <v>25.88</v>
      </c>
      <c r="BZ651">
        <v>0.67161150000000003</v>
      </c>
      <c r="CA651">
        <v>12</v>
      </c>
      <c r="CB651" t="s">
        <v>113</v>
      </c>
      <c r="CC651" t="s">
        <v>1415</v>
      </c>
    </row>
    <row r="652" spans="1:81" x14ac:dyDescent="0.25">
      <c r="A652" t="s">
        <v>81</v>
      </c>
      <c r="B652">
        <v>651</v>
      </c>
      <c r="C652">
        <v>125</v>
      </c>
      <c r="D652">
        <v>32</v>
      </c>
      <c r="E652">
        <v>130</v>
      </c>
      <c r="F652">
        <v>133</v>
      </c>
      <c r="G652">
        <v>381</v>
      </c>
      <c r="H652">
        <v>541</v>
      </c>
      <c r="I652" t="s">
        <v>1409</v>
      </c>
      <c r="J652" t="s">
        <v>691</v>
      </c>
      <c r="M652" t="s">
        <v>85</v>
      </c>
      <c r="O652" t="s">
        <v>14</v>
      </c>
      <c r="P652" t="s">
        <v>1410</v>
      </c>
      <c r="Q652" t="s">
        <v>1411</v>
      </c>
      <c r="R652">
        <v>1994</v>
      </c>
      <c r="S652" t="s">
        <v>494</v>
      </c>
      <c r="U652" t="s">
        <v>1412</v>
      </c>
      <c r="V652" t="s">
        <v>1413</v>
      </c>
      <c r="W652" t="s">
        <v>91</v>
      </c>
      <c r="X652" t="s">
        <v>126</v>
      </c>
      <c r="Y652" t="s">
        <v>190</v>
      </c>
      <c r="Z652" t="s">
        <v>191</v>
      </c>
      <c r="AA652" t="s">
        <v>496</v>
      </c>
      <c r="AB652" t="s">
        <v>497</v>
      </c>
      <c r="AC652" t="s">
        <v>498</v>
      </c>
      <c r="AD652" t="s">
        <v>132</v>
      </c>
      <c r="AE652" t="s">
        <v>133</v>
      </c>
      <c r="AF652" t="s">
        <v>100</v>
      </c>
      <c r="AG652" t="s">
        <v>102</v>
      </c>
      <c r="AH652" t="s">
        <v>102</v>
      </c>
      <c r="AI652" t="s">
        <v>134</v>
      </c>
      <c r="AJ652" t="s">
        <v>135</v>
      </c>
      <c r="AM652" t="s">
        <v>136</v>
      </c>
      <c r="AN652" t="s">
        <v>242</v>
      </c>
      <c r="AR652" t="s">
        <v>179</v>
      </c>
      <c r="AT652">
        <v>18</v>
      </c>
      <c r="AW652" t="s">
        <v>108</v>
      </c>
      <c r="AX652">
        <v>5</v>
      </c>
      <c r="AY652" t="s">
        <v>103</v>
      </c>
      <c r="AZ652" t="s">
        <v>109</v>
      </c>
      <c r="BA652" t="s">
        <v>138</v>
      </c>
      <c r="BB652">
        <v>15</v>
      </c>
      <c r="BC652">
        <v>20</v>
      </c>
      <c r="BE652" t="s">
        <v>139</v>
      </c>
      <c r="BF652">
        <v>3.5</v>
      </c>
      <c r="BG652">
        <f t="shared" si="30"/>
        <v>3.3333333333333333E-2</v>
      </c>
      <c r="BU652" t="s">
        <v>1419</v>
      </c>
      <c r="BV652">
        <v>25.88</v>
      </c>
      <c r="BW652">
        <v>0.67161150000000003</v>
      </c>
      <c r="BX652">
        <v>12</v>
      </c>
      <c r="BY652">
        <v>26.02</v>
      </c>
      <c r="BZ652">
        <v>0.15906590000000001</v>
      </c>
      <c r="CA652">
        <v>12</v>
      </c>
      <c r="CB652" t="s">
        <v>113</v>
      </c>
      <c r="CC652" t="s">
        <v>1415</v>
      </c>
    </row>
    <row r="653" spans="1:81" x14ac:dyDescent="0.25">
      <c r="A653" t="s">
        <v>81</v>
      </c>
      <c r="B653">
        <v>652</v>
      </c>
      <c r="C653">
        <v>125</v>
      </c>
      <c r="D653">
        <v>32</v>
      </c>
      <c r="E653">
        <v>130</v>
      </c>
      <c r="F653">
        <v>133</v>
      </c>
      <c r="G653">
        <v>382</v>
      </c>
      <c r="H653">
        <v>542</v>
      </c>
      <c r="I653" t="s">
        <v>1409</v>
      </c>
      <c r="J653" t="s">
        <v>691</v>
      </c>
      <c r="M653" t="s">
        <v>85</v>
      </c>
      <c r="O653" t="s">
        <v>14</v>
      </c>
      <c r="P653" t="s">
        <v>1410</v>
      </c>
      <c r="Q653" t="s">
        <v>1411</v>
      </c>
      <c r="R653">
        <v>1994</v>
      </c>
      <c r="S653" t="s">
        <v>494</v>
      </c>
      <c r="U653" t="s">
        <v>1412</v>
      </c>
      <c r="V653" t="s">
        <v>1413</v>
      </c>
      <c r="W653" t="s">
        <v>91</v>
      </c>
      <c r="X653" t="s">
        <v>126</v>
      </c>
      <c r="Y653" t="s">
        <v>190</v>
      </c>
      <c r="Z653" t="s">
        <v>191</v>
      </c>
      <c r="AA653" t="s">
        <v>496</v>
      </c>
      <c r="AB653" t="s">
        <v>497</v>
      </c>
      <c r="AC653" t="s">
        <v>498</v>
      </c>
      <c r="AD653" t="s">
        <v>132</v>
      </c>
      <c r="AE653" t="s">
        <v>133</v>
      </c>
      <c r="AF653" t="s">
        <v>100</v>
      </c>
      <c r="AG653" t="s">
        <v>102</v>
      </c>
      <c r="AH653" t="s">
        <v>102</v>
      </c>
      <c r="AI653" t="s">
        <v>134</v>
      </c>
      <c r="AJ653" t="s">
        <v>135</v>
      </c>
      <c r="AM653" t="s">
        <v>136</v>
      </c>
      <c r="AN653" t="s">
        <v>242</v>
      </c>
      <c r="AR653" t="s">
        <v>179</v>
      </c>
      <c r="AT653">
        <f>((11+18)/2)*10</f>
        <v>145</v>
      </c>
      <c r="AW653" t="s">
        <v>108</v>
      </c>
      <c r="AX653">
        <v>5</v>
      </c>
      <c r="AY653" t="s">
        <v>134</v>
      </c>
      <c r="AZ653" t="s">
        <v>109</v>
      </c>
      <c r="BA653" t="s">
        <v>138</v>
      </c>
      <c r="BB653">
        <v>5</v>
      </c>
      <c r="BC653">
        <v>10</v>
      </c>
      <c r="BE653" t="s">
        <v>139</v>
      </c>
      <c r="BF653">
        <v>6</v>
      </c>
      <c r="BG653">
        <f t="shared" si="30"/>
        <v>3.3333333333333333E-2</v>
      </c>
      <c r="BS653" t="s">
        <v>230</v>
      </c>
      <c r="BU653" t="s">
        <v>1420</v>
      </c>
      <c r="BV653">
        <v>26.08</v>
      </c>
      <c r="BW653">
        <v>0.40335169999999998</v>
      </c>
      <c r="BX653">
        <v>10</v>
      </c>
      <c r="BY653">
        <v>26.35</v>
      </c>
      <c r="BZ653">
        <v>0.1129385</v>
      </c>
      <c r="CA653">
        <v>10</v>
      </c>
      <c r="CB653" t="s">
        <v>113</v>
      </c>
      <c r="CC653" t="s">
        <v>1415</v>
      </c>
    </row>
    <row r="654" spans="1:81" x14ac:dyDescent="0.25">
      <c r="A654" t="s">
        <v>81</v>
      </c>
      <c r="B654">
        <v>653</v>
      </c>
      <c r="C654">
        <v>125</v>
      </c>
      <c r="D654">
        <v>32</v>
      </c>
      <c r="E654">
        <v>130</v>
      </c>
      <c r="F654">
        <v>133</v>
      </c>
      <c r="G654">
        <v>382</v>
      </c>
      <c r="H654">
        <v>543</v>
      </c>
      <c r="I654" t="s">
        <v>1409</v>
      </c>
      <c r="J654" t="s">
        <v>691</v>
      </c>
      <c r="M654" t="s">
        <v>85</v>
      </c>
      <c r="O654" t="s">
        <v>14</v>
      </c>
      <c r="P654" t="s">
        <v>1410</v>
      </c>
      <c r="Q654" t="s">
        <v>1411</v>
      </c>
      <c r="R654">
        <v>1994</v>
      </c>
      <c r="S654" t="s">
        <v>494</v>
      </c>
      <c r="U654" t="s">
        <v>1412</v>
      </c>
      <c r="V654" t="s">
        <v>1413</v>
      </c>
      <c r="W654" t="s">
        <v>91</v>
      </c>
      <c r="X654" t="s">
        <v>126</v>
      </c>
      <c r="Y654" t="s">
        <v>190</v>
      </c>
      <c r="Z654" t="s">
        <v>191</v>
      </c>
      <c r="AA654" t="s">
        <v>496</v>
      </c>
      <c r="AB654" t="s">
        <v>497</v>
      </c>
      <c r="AC654" t="s">
        <v>498</v>
      </c>
      <c r="AD654" t="s">
        <v>132</v>
      </c>
      <c r="AE654" t="s">
        <v>133</v>
      </c>
      <c r="AF654" t="s">
        <v>100</v>
      </c>
      <c r="AG654" t="s">
        <v>102</v>
      </c>
      <c r="AH654" t="s">
        <v>102</v>
      </c>
      <c r="AI654" t="s">
        <v>134</v>
      </c>
      <c r="AJ654" t="s">
        <v>135</v>
      </c>
      <c r="AM654" t="s">
        <v>136</v>
      </c>
      <c r="AN654" t="s">
        <v>242</v>
      </c>
      <c r="AR654" t="s">
        <v>179</v>
      </c>
      <c r="AT654">
        <f>((11+18)/2)*10</f>
        <v>145</v>
      </c>
      <c r="AW654" t="s">
        <v>108</v>
      </c>
      <c r="AX654">
        <v>5</v>
      </c>
      <c r="AY654" t="s">
        <v>103</v>
      </c>
      <c r="AZ654" t="s">
        <v>109</v>
      </c>
      <c r="BA654" t="s">
        <v>138</v>
      </c>
      <c r="BB654">
        <v>10</v>
      </c>
      <c r="BC654">
        <v>15</v>
      </c>
      <c r="BE654" t="s">
        <v>139</v>
      </c>
      <c r="BF654">
        <v>6</v>
      </c>
      <c r="BG654">
        <f t="shared" si="30"/>
        <v>3.3333333333333333E-2</v>
      </c>
      <c r="BU654" t="s">
        <v>1421</v>
      </c>
      <c r="BV654">
        <v>26.35</v>
      </c>
      <c r="BW654">
        <v>0.1129385</v>
      </c>
      <c r="BX654">
        <v>10</v>
      </c>
      <c r="BY654">
        <v>26.34</v>
      </c>
      <c r="BZ654">
        <v>0.1613407</v>
      </c>
      <c r="CA654">
        <v>10</v>
      </c>
      <c r="CB654" t="s">
        <v>113</v>
      </c>
      <c r="CC654" t="s">
        <v>1415</v>
      </c>
    </row>
    <row r="655" spans="1:81" x14ac:dyDescent="0.25">
      <c r="A655" t="s">
        <v>81</v>
      </c>
      <c r="B655">
        <v>654</v>
      </c>
      <c r="C655">
        <v>125</v>
      </c>
      <c r="D655">
        <v>32</v>
      </c>
      <c r="E655">
        <v>130</v>
      </c>
      <c r="F655">
        <v>133</v>
      </c>
      <c r="G655">
        <v>382</v>
      </c>
      <c r="H655">
        <v>544</v>
      </c>
      <c r="I655" t="s">
        <v>1409</v>
      </c>
      <c r="J655" t="s">
        <v>691</v>
      </c>
      <c r="M655" t="s">
        <v>85</v>
      </c>
      <c r="O655" t="s">
        <v>14</v>
      </c>
      <c r="P655" t="s">
        <v>1410</v>
      </c>
      <c r="Q655" t="s">
        <v>1411</v>
      </c>
      <c r="R655">
        <v>1994</v>
      </c>
      <c r="S655" t="s">
        <v>494</v>
      </c>
      <c r="U655" t="s">
        <v>1412</v>
      </c>
      <c r="V655" t="s">
        <v>1413</v>
      </c>
      <c r="W655" t="s">
        <v>91</v>
      </c>
      <c r="X655" t="s">
        <v>126</v>
      </c>
      <c r="Y655" t="s">
        <v>190</v>
      </c>
      <c r="Z655" t="s">
        <v>191</v>
      </c>
      <c r="AA655" t="s">
        <v>496</v>
      </c>
      <c r="AB655" t="s">
        <v>497</v>
      </c>
      <c r="AC655" t="s">
        <v>498</v>
      </c>
      <c r="AD655" t="s">
        <v>132</v>
      </c>
      <c r="AE655" t="s">
        <v>133</v>
      </c>
      <c r="AF655" t="s">
        <v>100</v>
      </c>
      <c r="AG655" t="s">
        <v>102</v>
      </c>
      <c r="AH655" t="s">
        <v>102</v>
      </c>
      <c r="AI655" t="s">
        <v>134</v>
      </c>
      <c r="AJ655" t="s">
        <v>135</v>
      </c>
      <c r="AM655" t="s">
        <v>136</v>
      </c>
      <c r="AN655" t="s">
        <v>242</v>
      </c>
      <c r="AR655" t="s">
        <v>1422</v>
      </c>
      <c r="AT655">
        <f>((11+18)/2)*10</f>
        <v>145</v>
      </c>
      <c r="AW655" t="s">
        <v>108</v>
      </c>
      <c r="AX655">
        <v>5</v>
      </c>
      <c r="AY655" t="s">
        <v>103</v>
      </c>
      <c r="AZ655" t="s">
        <v>109</v>
      </c>
      <c r="BA655" t="s">
        <v>138</v>
      </c>
      <c r="BB655">
        <v>15</v>
      </c>
      <c r="BC655">
        <v>20</v>
      </c>
      <c r="BE655" t="s">
        <v>139</v>
      </c>
      <c r="BF655">
        <v>6</v>
      </c>
      <c r="BG655">
        <f t="shared" si="30"/>
        <v>3.3333333333333333E-2</v>
      </c>
      <c r="BU655" t="s">
        <v>1423</v>
      </c>
      <c r="BV655">
        <v>26.34</v>
      </c>
      <c r="BW655">
        <v>0.1613407</v>
      </c>
      <c r="BX655">
        <v>10</v>
      </c>
      <c r="BY655">
        <v>26.26</v>
      </c>
      <c r="BZ655">
        <v>1.403664</v>
      </c>
      <c r="CA655">
        <v>10</v>
      </c>
      <c r="CB655" t="s">
        <v>113</v>
      </c>
      <c r="CC655" t="s">
        <v>1415</v>
      </c>
    </row>
    <row r="656" spans="1:81" x14ac:dyDescent="0.25">
      <c r="A656" t="s">
        <v>81</v>
      </c>
      <c r="B656">
        <v>655</v>
      </c>
      <c r="C656">
        <v>125</v>
      </c>
      <c r="D656">
        <v>32</v>
      </c>
      <c r="E656">
        <v>130</v>
      </c>
      <c r="F656">
        <v>134</v>
      </c>
      <c r="G656">
        <v>383</v>
      </c>
      <c r="H656">
        <v>545</v>
      </c>
      <c r="I656" t="s">
        <v>1409</v>
      </c>
      <c r="J656" t="s">
        <v>691</v>
      </c>
      <c r="M656" t="s">
        <v>85</v>
      </c>
      <c r="O656" t="s">
        <v>14</v>
      </c>
      <c r="P656" t="s">
        <v>1410</v>
      </c>
      <c r="Q656" t="s">
        <v>1411</v>
      </c>
      <c r="R656">
        <v>1994</v>
      </c>
      <c r="S656" t="s">
        <v>494</v>
      </c>
      <c r="U656" t="s">
        <v>1412</v>
      </c>
      <c r="V656" t="s">
        <v>1413</v>
      </c>
      <c r="W656" t="s">
        <v>91</v>
      </c>
      <c r="X656" t="s">
        <v>126</v>
      </c>
      <c r="Y656" t="s">
        <v>190</v>
      </c>
      <c r="Z656" t="s">
        <v>191</v>
      </c>
      <c r="AA656" t="s">
        <v>496</v>
      </c>
      <c r="AB656" t="s">
        <v>497</v>
      </c>
      <c r="AC656" t="s">
        <v>498</v>
      </c>
      <c r="AD656" t="s">
        <v>132</v>
      </c>
      <c r="AE656" t="s">
        <v>133</v>
      </c>
      <c r="AF656" t="s">
        <v>100</v>
      </c>
      <c r="AG656" t="s">
        <v>102</v>
      </c>
      <c r="AH656" t="s">
        <v>102</v>
      </c>
      <c r="AI656" t="s">
        <v>134</v>
      </c>
      <c r="AJ656" t="s">
        <v>135</v>
      </c>
      <c r="AM656" t="s">
        <v>136</v>
      </c>
      <c r="AN656" t="s">
        <v>242</v>
      </c>
      <c r="AR656" t="s">
        <v>107</v>
      </c>
      <c r="AT656">
        <v>14</v>
      </c>
      <c r="AW656" t="s">
        <v>108</v>
      </c>
      <c r="AX656">
        <v>5</v>
      </c>
      <c r="AY656" t="s">
        <v>134</v>
      </c>
      <c r="AZ656" t="s">
        <v>109</v>
      </c>
      <c r="BA656" t="s">
        <v>138</v>
      </c>
      <c r="BB656">
        <v>5</v>
      </c>
      <c r="BC656">
        <v>10</v>
      </c>
      <c r="BE656" t="s">
        <v>139</v>
      </c>
      <c r="BF656">
        <v>3.5</v>
      </c>
      <c r="BG656">
        <f t="shared" si="30"/>
        <v>3.3333333333333333E-2</v>
      </c>
      <c r="BS656" t="s">
        <v>230</v>
      </c>
      <c r="BU656" t="s">
        <v>1424</v>
      </c>
      <c r="BV656">
        <v>23.48</v>
      </c>
      <c r="BW656">
        <v>1.3432230000000001</v>
      </c>
      <c r="BX656">
        <v>12</v>
      </c>
      <c r="BY656">
        <v>24.78</v>
      </c>
      <c r="BZ656">
        <v>0.61858959999999996</v>
      </c>
      <c r="CA656">
        <v>12</v>
      </c>
      <c r="CB656" t="s">
        <v>113</v>
      </c>
      <c r="CC656" t="s">
        <v>1415</v>
      </c>
    </row>
    <row r="657" spans="1:81" x14ac:dyDescent="0.25">
      <c r="A657" t="s">
        <v>81</v>
      </c>
      <c r="B657">
        <v>656</v>
      </c>
      <c r="C657">
        <v>125</v>
      </c>
      <c r="D657">
        <v>32</v>
      </c>
      <c r="E657">
        <v>130</v>
      </c>
      <c r="F657">
        <v>134</v>
      </c>
      <c r="G657">
        <v>383</v>
      </c>
      <c r="H657">
        <v>546</v>
      </c>
      <c r="I657" t="s">
        <v>1409</v>
      </c>
      <c r="J657" t="s">
        <v>691</v>
      </c>
      <c r="M657" t="s">
        <v>85</v>
      </c>
      <c r="O657" t="s">
        <v>14</v>
      </c>
      <c r="P657" t="s">
        <v>1410</v>
      </c>
      <c r="Q657" t="s">
        <v>1411</v>
      </c>
      <c r="R657">
        <v>1994</v>
      </c>
      <c r="S657" t="s">
        <v>494</v>
      </c>
      <c r="U657" t="s">
        <v>1412</v>
      </c>
      <c r="V657" t="s">
        <v>1413</v>
      </c>
      <c r="W657" t="s">
        <v>91</v>
      </c>
      <c r="X657" t="s">
        <v>126</v>
      </c>
      <c r="Y657" t="s">
        <v>190</v>
      </c>
      <c r="Z657" t="s">
        <v>191</v>
      </c>
      <c r="AA657" t="s">
        <v>496</v>
      </c>
      <c r="AB657" t="s">
        <v>497</v>
      </c>
      <c r="AC657" t="s">
        <v>498</v>
      </c>
      <c r="AD657" t="s">
        <v>132</v>
      </c>
      <c r="AE657" t="s">
        <v>133</v>
      </c>
      <c r="AF657" t="s">
        <v>100</v>
      </c>
      <c r="AG657" t="s">
        <v>102</v>
      </c>
      <c r="AH657" t="s">
        <v>102</v>
      </c>
      <c r="AI657" t="s">
        <v>134</v>
      </c>
      <c r="AJ657" t="s">
        <v>135</v>
      </c>
      <c r="AM657" t="s">
        <v>136</v>
      </c>
      <c r="AN657" t="s">
        <v>242</v>
      </c>
      <c r="AR657" t="s">
        <v>107</v>
      </c>
      <c r="AT657">
        <v>14</v>
      </c>
      <c r="AW657" t="s">
        <v>108</v>
      </c>
      <c r="AX657">
        <v>5</v>
      </c>
      <c r="AY657" t="s">
        <v>103</v>
      </c>
      <c r="AZ657" t="s">
        <v>109</v>
      </c>
      <c r="BA657" t="s">
        <v>138</v>
      </c>
      <c r="BB657">
        <v>10</v>
      </c>
      <c r="BC657">
        <v>15</v>
      </c>
      <c r="BE657" t="s">
        <v>139</v>
      </c>
      <c r="BF657">
        <v>3.5</v>
      </c>
      <c r="BG657">
        <f t="shared" si="30"/>
        <v>3.3333333333333333E-2</v>
      </c>
      <c r="BU657" t="s">
        <v>1425</v>
      </c>
      <c r="BV657">
        <v>24.78</v>
      </c>
      <c r="BW657">
        <v>0.61858959999999996</v>
      </c>
      <c r="BX657">
        <v>12</v>
      </c>
      <c r="BY657">
        <v>25.78</v>
      </c>
      <c r="BZ657">
        <v>1.396245</v>
      </c>
      <c r="CA657">
        <v>12</v>
      </c>
      <c r="CB657" t="s">
        <v>113</v>
      </c>
      <c r="CC657" t="s">
        <v>1415</v>
      </c>
    </row>
    <row r="658" spans="1:81" x14ac:dyDescent="0.25">
      <c r="A658" t="s">
        <v>81</v>
      </c>
      <c r="B658">
        <v>657</v>
      </c>
      <c r="C658">
        <v>125</v>
      </c>
      <c r="D658">
        <v>32</v>
      </c>
      <c r="E658">
        <v>130</v>
      </c>
      <c r="F658">
        <v>134</v>
      </c>
      <c r="G658">
        <v>383</v>
      </c>
      <c r="H658">
        <v>547</v>
      </c>
      <c r="I658" t="s">
        <v>1409</v>
      </c>
      <c r="J658" t="s">
        <v>691</v>
      </c>
      <c r="M658" t="s">
        <v>85</v>
      </c>
      <c r="O658" t="s">
        <v>14</v>
      </c>
      <c r="P658" t="s">
        <v>1410</v>
      </c>
      <c r="Q658" t="s">
        <v>1411</v>
      </c>
      <c r="R658">
        <v>1994</v>
      </c>
      <c r="S658" t="s">
        <v>494</v>
      </c>
      <c r="U658" t="s">
        <v>1412</v>
      </c>
      <c r="V658" t="s">
        <v>1413</v>
      </c>
      <c r="W658" t="s">
        <v>91</v>
      </c>
      <c r="X658" t="s">
        <v>126</v>
      </c>
      <c r="Y658" t="s">
        <v>190</v>
      </c>
      <c r="Z658" t="s">
        <v>191</v>
      </c>
      <c r="AA658" t="s">
        <v>496</v>
      </c>
      <c r="AB658" t="s">
        <v>497</v>
      </c>
      <c r="AC658" t="s">
        <v>498</v>
      </c>
      <c r="AD658" t="s">
        <v>132</v>
      </c>
      <c r="AE658" t="s">
        <v>133</v>
      </c>
      <c r="AF658" t="s">
        <v>100</v>
      </c>
      <c r="AG658" t="s">
        <v>102</v>
      </c>
      <c r="AH658" t="s">
        <v>102</v>
      </c>
      <c r="AI658" t="s">
        <v>134</v>
      </c>
      <c r="AJ658" t="s">
        <v>135</v>
      </c>
      <c r="AM658" t="s">
        <v>136</v>
      </c>
      <c r="AN658" t="s">
        <v>242</v>
      </c>
      <c r="AR658" t="s">
        <v>107</v>
      </c>
      <c r="AT658">
        <v>14</v>
      </c>
      <c r="AW658" t="s">
        <v>108</v>
      </c>
      <c r="AX658">
        <v>5</v>
      </c>
      <c r="AY658" t="s">
        <v>103</v>
      </c>
      <c r="AZ658" t="s">
        <v>109</v>
      </c>
      <c r="BA658" t="s">
        <v>138</v>
      </c>
      <c r="BB658">
        <v>15</v>
      </c>
      <c r="BC658">
        <v>20</v>
      </c>
      <c r="BE658" t="s">
        <v>139</v>
      </c>
      <c r="BF658">
        <v>3.5</v>
      </c>
      <c r="BG658">
        <f t="shared" si="30"/>
        <v>3.3333333333333333E-2</v>
      </c>
      <c r="BU658" t="s">
        <v>1425</v>
      </c>
      <c r="BV658">
        <v>25.78</v>
      </c>
      <c r="BW658">
        <v>1.396245</v>
      </c>
      <c r="BX658">
        <v>12</v>
      </c>
      <c r="BY658">
        <v>26.38</v>
      </c>
      <c r="BZ658">
        <v>0.72463350000000004</v>
      </c>
      <c r="CA658">
        <v>12</v>
      </c>
      <c r="CB658" t="s">
        <v>113</v>
      </c>
      <c r="CC658" t="s">
        <v>1415</v>
      </c>
    </row>
    <row r="659" spans="1:81" x14ac:dyDescent="0.25">
      <c r="A659" t="s">
        <v>81</v>
      </c>
      <c r="B659">
        <v>658</v>
      </c>
      <c r="C659">
        <v>125</v>
      </c>
      <c r="D659">
        <v>32</v>
      </c>
      <c r="E659">
        <v>131</v>
      </c>
      <c r="F659">
        <v>135</v>
      </c>
      <c r="G659">
        <v>384</v>
      </c>
      <c r="H659">
        <v>548</v>
      </c>
      <c r="I659" t="s">
        <v>1409</v>
      </c>
      <c r="J659" t="s">
        <v>691</v>
      </c>
      <c r="M659" t="s">
        <v>85</v>
      </c>
      <c r="O659" t="s">
        <v>14</v>
      </c>
      <c r="P659" t="s">
        <v>1410</v>
      </c>
      <c r="Q659" t="s">
        <v>1411</v>
      </c>
      <c r="R659">
        <v>1994</v>
      </c>
      <c r="S659" t="s">
        <v>494</v>
      </c>
      <c r="U659" t="s">
        <v>1412</v>
      </c>
      <c r="V659" t="s">
        <v>1413</v>
      </c>
      <c r="W659" t="s">
        <v>91</v>
      </c>
      <c r="X659" t="s">
        <v>126</v>
      </c>
      <c r="Y659" t="s">
        <v>190</v>
      </c>
      <c r="Z659" t="s">
        <v>191</v>
      </c>
      <c r="AA659" t="s">
        <v>496</v>
      </c>
      <c r="AB659" t="s">
        <v>497</v>
      </c>
      <c r="AC659" t="s">
        <v>498</v>
      </c>
      <c r="AD659" t="s">
        <v>132</v>
      </c>
      <c r="AE659" t="s">
        <v>133</v>
      </c>
      <c r="AF659" t="s">
        <v>100</v>
      </c>
      <c r="AG659" t="s">
        <v>102</v>
      </c>
      <c r="AH659" t="s">
        <v>102</v>
      </c>
      <c r="AI659" t="s">
        <v>134</v>
      </c>
      <c r="AJ659" t="s">
        <v>135</v>
      </c>
      <c r="AM659" t="s">
        <v>136</v>
      </c>
      <c r="AN659" t="s">
        <v>242</v>
      </c>
      <c r="AR659" t="s">
        <v>179</v>
      </c>
      <c r="AT659">
        <v>14</v>
      </c>
      <c r="AW659" t="s">
        <v>108</v>
      </c>
      <c r="AX659">
        <v>5</v>
      </c>
      <c r="AY659" t="s">
        <v>134</v>
      </c>
      <c r="AZ659" t="s">
        <v>109</v>
      </c>
      <c r="BA659" t="s">
        <v>138</v>
      </c>
      <c r="BB659">
        <v>5</v>
      </c>
      <c r="BC659">
        <v>10</v>
      </c>
      <c r="BE659" t="s">
        <v>139</v>
      </c>
      <c r="BF659">
        <v>3.5</v>
      </c>
      <c r="BG659">
        <f t="shared" si="30"/>
        <v>3.3333333333333333E-2</v>
      </c>
      <c r="BS659" t="s">
        <v>230</v>
      </c>
      <c r="BU659" t="s">
        <v>1426</v>
      </c>
      <c r="BV659">
        <v>23.53</v>
      </c>
      <c r="BW659">
        <v>0.95439529999999995</v>
      </c>
      <c r="BX659">
        <v>12</v>
      </c>
      <c r="BY659">
        <v>25.26</v>
      </c>
      <c r="BZ659">
        <v>0.58082650000000002</v>
      </c>
      <c r="CA659">
        <v>10</v>
      </c>
      <c r="CB659" t="s">
        <v>113</v>
      </c>
      <c r="CC659" t="s">
        <v>1415</v>
      </c>
    </row>
    <row r="660" spans="1:81" x14ac:dyDescent="0.25">
      <c r="A660" t="s">
        <v>81</v>
      </c>
      <c r="B660">
        <v>659</v>
      </c>
      <c r="C660">
        <v>125</v>
      </c>
      <c r="D660">
        <v>32</v>
      </c>
      <c r="E660">
        <v>131</v>
      </c>
      <c r="F660">
        <v>135</v>
      </c>
      <c r="G660">
        <v>384</v>
      </c>
      <c r="H660">
        <v>549</v>
      </c>
      <c r="I660" t="s">
        <v>1409</v>
      </c>
      <c r="J660" t="s">
        <v>691</v>
      </c>
      <c r="M660" t="s">
        <v>85</v>
      </c>
      <c r="O660" t="s">
        <v>14</v>
      </c>
      <c r="P660" t="s">
        <v>1410</v>
      </c>
      <c r="Q660" t="s">
        <v>1411</v>
      </c>
      <c r="R660">
        <v>1994</v>
      </c>
      <c r="S660" t="s">
        <v>494</v>
      </c>
      <c r="U660" t="s">
        <v>1412</v>
      </c>
      <c r="V660" t="s">
        <v>1413</v>
      </c>
      <c r="W660" t="s">
        <v>91</v>
      </c>
      <c r="X660" t="s">
        <v>126</v>
      </c>
      <c r="Y660" t="s">
        <v>190</v>
      </c>
      <c r="Z660" t="s">
        <v>191</v>
      </c>
      <c r="AA660" t="s">
        <v>496</v>
      </c>
      <c r="AB660" t="s">
        <v>497</v>
      </c>
      <c r="AC660" t="s">
        <v>498</v>
      </c>
      <c r="AD660" t="s">
        <v>132</v>
      </c>
      <c r="AE660" t="s">
        <v>133</v>
      </c>
      <c r="AF660" t="s">
        <v>100</v>
      </c>
      <c r="AG660" t="s">
        <v>102</v>
      </c>
      <c r="AH660" t="s">
        <v>102</v>
      </c>
      <c r="AI660" t="s">
        <v>134</v>
      </c>
      <c r="AJ660" t="s">
        <v>135</v>
      </c>
      <c r="AM660" t="s">
        <v>136</v>
      </c>
      <c r="AN660" t="s">
        <v>242</v>
      </c>
      <c r="AR660" t="s">
        <v>179</v>
      </c>
      <c r="AT660">
        <v>14</v>
      </c>
      <c r="AW660" t="s">
        <v>108</v>
      </c>
      <c r="AX660">
        <v>5</v>
      </c>
      <c r="AY660" t="s">
        <v>103</v>
      </c>
      <c r="AZ660" t="s">
        <v>109</v>
      </c>
      <c r="BA660" t="s">
        <v>138</v>
      </c>
      <c r="BB660">
        <v>10</v>
      </c>
      <c r="BC660">
        <v>15</v>
      </c>
      <c r="BE660" t="s">
        <v>139</v>
      </c>
      <c r="BF660">
        <v>3.5</v>
      </c>
      <c r="BG660">
        <f t="shared" si="30"/>
        <v>3.3333333333333333E-2</v>
      </c>
      <c r="BU660" t="s">
        <v>1427</v>
      </c>
      <c r="BV660">
        <v>25.26</v>
      </c>
      <c r="BW660">
        <v>0.58082650000000002</v>
      </c>
      <c r="BX660">
        <v>10</v>
      </c>
      <c r="BY660">
        <v>25.16</v>
      </c>
      <c r="BZ660">
        <v>0.42417569999999999</v>
      </c>
      <c r="CA660">
        <v>12</v>
      </c>
      <c r="CB660" t="s">
        <v>113</v>
      </c>
      <c r="CC660" t="s">
        <v>1415</v>
      </c>
    </row>
    <row r="661" spans="1:81" x14ac:dyDescent="0.25">
      <c r="A661" t="s">
        <v>81</v>
      </c>
      <c r="B661">
        <v>660</v>
      </c>
      <c r="C661">
        <v>125</v>
      </c>
      <c r="D661">
        <v>32</v>
      </c>
      <c r="E661">
        <v>131</v>
      </c>
      <c r="F661">
        <v>135</v>
      </c>
      <c r="G661">
        <v>384</v>
      </c>
      <c r="H661">
        <v>550</v>
      </c>
      <c r="I661" t="s">
        <v>1409</v>
      </c>
      <c r="J661" t="s">
        <v>691</v>
      </c>
      <c r="M661" t="s">
        <v>85</v>
      </c>
      <c r="O661" t="s">
        <v>14</v>
      </c>
      <c r="P661" t="s">
        <v>1410</v>
      </c>
      <c r="Q661" t="s">
        <v>1411</v>
      </c>
      <c r="R661">
        <v>1994</v>
      </c>
      <c r="S661" t="s">
        <v>494</v>
      </c>
      <c r="U661" t="s">
        <v>1412</v>
      </c>
      <c r="V661" t="s">
        <v>1413</v>
      </c>
      <c r="W661" t="s">
        <v>91</v>
      </c>
      <c r="X661" t="s">
        <v>126</v>
      </c>
      <c r="Y661" t="s">
        <v>190</v>
      </c>
      <c r="Z661" t="s">
        <v>191</v>
      </c>
      <c r="AA661" t="s">
        <v>496</v>
      </c>
      <c r="AB661" t="s">
        <v>497</v>
      </c>
      <c r="AC661" t="s">
        <v>498</v>
      </c>
      <c r="AD661" t="s">
        <v>132</v>
      </c>
      <c r="AE661" t="s">
        <v>133</v>
      </c>
      <c r="AF661" t="s">
        <v>100</v>
      </c>
      <c r="AG661" t="s">
        <v>102</v>
      </c>
      <c r="AH661" t="s">
        <v>102</v>
      </c>
      <c r="AI661" t="s">
        <v>134</v>
      </c>
      <c r="AJ661" t="s">
        <v>135</v>
      </c>
      <c r="AM661" t="s">
        <v>136</v>
      </c>
      <c r="AN661" t="s">
        <v>242</v>
      </c>
      <c r="AR661" t="s">
        <v>179</v>
      </c>
      <c r="AT661">
        <v>14</v>
      </c>
      <c r="AW661" t="s">
        <v>108</v>
      </c>
      <c r="AX661">
        <v>5</v>
      </c>
      <c r="AY661" t="s">
        <v>103</v>
      </c>
      <c r="AZ661" t="s">
        <v>109</v>
      </c>
      <c r="BA661" t="s">
        <v>138</v>
      </c>
      <c r="BB661">
        <v>15</v>
      </c>
      <c r="BC661">
        <v>20</v>
      </c>
      <c r="BE661" t="s">
        <v>139</v>
      </c>
      <c r="BF661">
        <v>3.5</v>
      </c>
      <c r="BG661">
        <f t="shared" si="30"/>
        <v>3.3333333333333333E-2</v>
      </c>
      <c r="BU661" t="s">
        <v>1427</v>
      </c>
      <c r="BV661">
        <v>25.16</v>
      </c>
      <c r="BW661">
        <v>0.42417569999999999</v>
      </c>
      <c r="BX661">
        <v>12</v>
      </c>
      <c r="BY661">
        <v>25.98</v>
      </c>
      <c r="BZ661">
        <v>0.45952369999999998</v>
      </c>
      <c r="CA661">
        <v>12</v>
      </c>
      <c r="CB661" t="s">
        <v>113</v>
      </c>
      <c r="CC661" t="s">
        <v>1415</v>
      </c>
    </row>
    <row r="662" spans="1:81" x14ac:dyDescent="0.25">
      <c r="A662" t="s">
        <v>81</v>
      </c>
      <c r="B662">
        <v>661</v>
      </c>
      <c r="C662">
        <v>125</v>
      </c>
      <c r="D662">
        <v>32</v>
      </c>
      <c r="E662">
        <v>131</v>
      </c>
      <c r="F662">
        <v>135</v>
      </c>
      <c r="G662">
        <v>385</v>
      </c>
      <c r="H662">
        <v>551</v>
      </c>
      <c r="I662" t="s">
        <v>1409</v>
      </c>
      <c r="J662" t="s">
        <v>691</v>
      </c>
      <c r="M662" t="s">
        <v>85</v>
      </c>
      <c r="O662" t="s">
        <v>14</v>
      </c>
      <c r="P662" t="s">
        <v>1410</v>
      </c>
      <c r="Q662" t="s">
        <v>1411</v>
      </c>
      <c r="R662">
        <v>1994</v>
      </c>
      <c r="S662" t="s">
        <v>494</v>
      </c>
      <c r="U662" t="s">
        <v>1412</v>
      </c>
      <c r="V662" t="s">
        <v>1413</v>
      </c>
      <c r="W662" t="s">
        <v>91</v>
      </c>
      <c r="X662" t="s">
        <v>126</v>
      </c>
      <c r="Y662" t="s">
        <v>190</v>
      </c>
      <c r="Z662" t="s">
        <v>191</v>
      </c>
      <c r="AA662" t="s">
        <v>496</v>
      </c>
      <c r="AB662" t="s">
        <v>497</v>
      </c>
      <c r="AC662" t="s">
        <v>498</v>
      </c>
      <c r="AD662" t="s">
        <v>132</v>
      </c>
      <c r="AE662" t="s">
        <v>133</v>
      </c>
      <c r="AF662" t="s">
        <v>100</v>
      </c>
      <c r="AG662" t="s">
        <v>102</v>
      </c>
      <c r="AH662" t="s">
        <v>102</v>
      </c>
      <c r="AI662" t="s">
        <v>134</v>
      </c>
      <c r="AJ662" t="s">
        <v>135</v>
      </c>
      <c r="AM662" t="s">
        <v>136</v>
      </c>
      <c r="AN662" t="s">
        <v>242</v>
      </c>
      <c r="AR662" t="s">
        <v>179</v>
      </c>
      <c r="AT662">
        <v>18</v>
      </c>
      <c r="AW662" t="s">
        <v>108</v>
      </c>
      <c r="AX662">
        <v>5</v>
      </c>
      <c r="AY662" t="s">
        <v>134</v>
      </c>
      <c r="AZ662" t="s">
        <v>109</v>
      </c>
      <c r="BA662" t="s">
        <v>138</v>
      </c>
      <c r="BB662">
        <v>5</v>
      </c>
      <c r="BC662">
        <v>10</v>
      </c>
      <c r="BE662" t="s">
        <v>139</v>
      </c>
      <c r="BF662">
        <v>3.5</v>
      </c>
      <c r="BG662">
        <f t="shared" si="30"/>
        <v>3.3333333333333333E-2</v>
      </c>
      <c r="BS662" t="s">
        <v>230</v>
      </c>
      <c r="BU662" t="s">
        <v>1428</v>
      </c>
      <c r="BV662">
        <v>24.88</v>
      </c>
      <c r="BW662">
        <v>0.24743580000000001</v>
      </c>
      <c r="BX662">
        <v>12</v>
      </c>
      <c r="BY662">
        <v>25.28</v>
      </c>
      <c r="BZ662">
        <v>0.88369940000000002</v>
      </c>
      <c r="CA662">
        <v>12</v>
      </c>
      <c r="CB662" t="s">
        <v>113</v>
      </c>
      <c r="CC662" t="s">
        <v>1415</v>
      </c>
    </row>
    <row r="663" spans="1:81" x14ac:dyDescent="0.25">
      <c r="A663" t="s">
        <v>81</v>
      </c>
      <c r="B663">
        <v>662</v>
      </c>
      <c r="C663">
        <v>125</v>
      </c>
      <c r="D663">
        <v>32</v>
      </c>
      <c r="E663">
        <v>131</v>
      </c>
      <c r="F663">
        <v>135</v>
      </c>
      <c r="G663">
        <v>385</v>
      </c>
      <c r="H663">
        <v>552</v>
      </c>
      <c r="I663" t="s">
        <v>1409</v>
      </c>
      <c r="J663" t="s">
        <v>691</v>
      </c>
      <c r="M663" t="s">
        <v>85</v>
      </c>
      <c r="O663" t="s">
        <v>14</v>
      </c>
      <c r="P663" t="s">
        <v>1410</v>
      </c>
      <c r="Q663" t="s">
        <v>1411</v>
      </c>
      <c r="R663">
        <v>1994</v>
      </c>
      <c r="S663" t="s">
        <v>494</v>
      </c>
      <c r="U663" t="s">
        <v>1412</v>
      </c>
      <c r="V663" t="s">
        <v>1413</v>
      </c>
      <c r="W663" t="s">
        <v>91</v>
      </c>
      <c r="X663" t="s">
        <v>126</v>
      </c>
      <c r="Y663" t="s">
        <v>190</v>
      </c>
      <c r="Z663" t="s">
        <v>191</v>
      </c>
      <c r="AA663" t="s">
        <v>496</v>
      </c>
      <c r="AB663" t="s">
        <v>497</v>
      </c>
      <c r="AC663" t="s">
        <v>498</v>
      </c>
      <c r="AD663" t="s">
        <v>132</v>
      </c>
      <c r="AE663" t="s">
        <v>133</v>
      </c>
      <c r="AF663" t="s">
        <v>100</v>
      </c>
      <c r="AG663" t="s">
        <v>102</v>
      </c>
      <c r="AH663" t="s">
        <v>102</v>
      </c>
      <c r="AI663" t="s">
        <v>134</v>
      </c>
      <c r="AJ663" t="s">
        <v>135</v>
      </c>
      <c r="AM663" t="s">
        <v>136</v>
      </c>
      <c r="AN663" t="s">
        <v>242</v>
      </c>
      <c r="AR663" t="s">
        <v>179</v>
      </c>
      <c r="AT663">
        <v>18</v>
      </c>
      <c r="AW663" t="s">
        <v>108</v>
      </c>
      <c r="AX663">
        <v>5</v>
      </c>
      <c r="AY663" t="s">
        <v>103</v>
      </c>
      <c r="AZ663" t="s">
        <v>109</v>
      </c>
      <c r="BA663" t="s">
        <v>138</v>
      </c>
      <c r="BB663">
        <v>10</v>
      </c>
      <c r="BC663">
        <v>15</v>
      </c>
      <c r="BE663" t="s">
        <v>139</v>
      </c>
      <c r="BF663">
        <v>3.5</v>
      </c>
      <c r="BG663">
        <f t="shared" si="30"/>
        <v>3.3333333333333333E-2</v>
      </c>
      <c r="BU663" t="s">
        <v>1429</v>
      </c>
      <c r="BV663">
        <v>25.28</v>
      </c>
      <c r="BW663">
        <v>0.88369940000000002</v>
      </c>
      <c r="BX663">
        <v>12</v>
      </c>
      <c r="BY663">
        <v>25.72</v>
      </c>
      <c r="BZ663">
        <v>0.67161150000000003</v>
      </c>
      <c r="CA663">
        <v>12</v>
      </c>
      <c r="CB663" t="s">
        <v>113</v>
      </c>
      <c r="CC663" t="s">
        <v>1415</v>
      </c>
    </row>
    <row r="664" spans="1:81" x14ac:dyDescent="0.25">
      <c r="A664" t="s">
        <v>81</v>
      </c>
      <c r="B664">
        <v>663</v>
      </c>
      <c r="C664">
        <v>125</v>
      </c>
      <c r="D664">
        <v>32</v>
      </c>
      <c r="E664">
        <v>131</v>
      </c>
      <c r="F664">
        <v>135</v>
      </c>
      <c r="G664">
        <v>385</v>
      </c>
      <c r="H664">
        <v>553</v>
      </c>
      <c r="I664" t="s">
        <v>1409</v>
      </c>
      <c r="J664" t="s">
        <v>691</v>
      </c>
      <c r="M664" t="s">
        <v>85</v>
      </c>
      <c r="O664" t="s">
        <v>14</v>
      </c>
      <c r="P664" t="s">
        <v>1410</v>
      </c>
      <c r="Q664" t="s">
        <v>1411</v>
      </c>
      <c r="R664">
        <v>1994</v>
      </c>
      <c r="S664" t="s">
        <v>494</v>
      </c>
      <c r="U664" t="s">
        <v>1412</v>
      </c>
      <c r="V664" t="s">
        <v>1413</v>
      </c>
      <c r="W664" t="s">
        <v>91</v>
      </c>
      <c r="X664" t="s">
        <v>126</v>
      </c>
      <c r="Y664" t="s">
        <v>190</v>
      </c>
      <c r="Z664" t="s">
        <v>191</v>
      </c>
      <c r="AA664" t="s">
        <v>496</v>
      </c>
      <c r="AB664" t="s">
        <v>497</v>
      </c>
      <c r="AC664" t="s">
        <v>498</v>
      </c>
      <c r="AD664" t="s">
        <v>132</v>
      </c>
      <c r="AE664" t="s">
        <v>133</v>
      </c>
      <c r="AF664" t="s">
        <v>100</v>
      </c>
      <c r="AG664" t="s">
        <v>102</v>
      </c>
      <c r="AH664" t="s">
        <v>102</v>
      </c>
      <c r="AI664" t="s">
        <v>134</v>
      </c>
      <c r="AJ664" t="s">
        <v>135</v>
      </c>
      <c r="AM664" t="s">
        <v>136</v>
      </c>
      <c r="AN664" t="s">
        <v>242</v>
      </c>
      <c r="AR664" t="s">
        <v>179</v>
      </c>
      <c r="AT664">
        <v>18</v>
      </c>
      <c r="AW664" t="s">
        <v>108</v>
      </c>
      <c r="AX664">
        <v>5</v>
      </c>
      <c r="AY664" t="s">
        <v>103</v>
      </c>
      <c r="AZ664" t="s">
        <v>109</v>
      </c>
      <c r="BA664" t="s">
        <v>138</v>
      </c>
      <c r="BB664">
        <v>15</v>
      </c>
      <c r="BC664">
        <v>20</v>
      </c>
      <c r="BE664" t="s">
        <v>139</v>
      </c>
      <c r="BF664">
        <v>3.5</v>
      </c>
      <c r="BG664">
        <f t="shared" si="30"/>
        <v>3.3333333333333333E-2</v>
      </c>
      <c r="BU664" t="s">
        <v>1429</v>
      </c>
      <c r="BV664">
        <v>25.72</v>
      </c>
      <c r="BW664">
        <v>0.67161150000000003</v>
      </c>
      <c r="BX664">
        <v>12</v>
      </c>
      <c r="BY664">
        <v>26.18</v>
      </c>
      <c r="BZ664">
        <v>0.44184970000000001</v>
      </c>
      <c r="CA664">
        <v>12</v>
      </c>
      <c r="CB664" t="s">
        <v>113</v>
      </c>
      <c r="CC664" t="s">
        <v>1415</v>
      </c>
    </row>
    <row r="665" spans="1:81" x14ac:dyDescent="0.25">
      <c r="A665" t="s">
        <v>81</v>
      </c>
      <c r="B665">
        <v>664</v>
      </c>
      <c r="C665">
        <v>125</v>
      </c>
      <c r="D665">
        <v>32</v>
      </c>
      <c r="E665">
        <v>131</v>
      </c>
      <c r="F665">
        <v>135</v>
      </c>
      <c r="G665">
        <v>386</v>
      </c>
      <c r="H665">
        <v>554</v>
      </c>
      <c r="I665" t="s">
        <v>1409</v>
      </c>
      <c r="J665" t="s">
        <v>691</v>
      </c>
      <c r="M665" t="s">
        <v>85</v>
      </c>
      <c r="O665" t="s">
        <v>14</v>
      </c>
      <c r="P665" t="s">
        <v>1410</v>
      </c>
      <c r="Q665" t="s">
        <v>1411</v>
      </c>
      <c r="R665">
        <v>1994</v>
      </c>
      <c r="S665" t="s">
        <v>494</v>
      </c>
      <c r="U665" t="s">
        <v>1412</v>
      </c>
      <c r="V665" t="s">
        <v>1413</v>
      </c>
      <c r="W665" t="s">
        <v>91</v>
      </c>
      <c r="X665" t="s">
        <v>126</v>
      </c>
      <c r="Y665" t="s">
        <v>190</v>
      </c>
      <c r="Z665" t="s">
        <v>191</v>
      </c>
      <c r="AA665" t="s">
        <v>496</v>
      </c>
      <c r="AB665" t="s">
        <v>497</v>
      </c>
      <c r="AC665" t="s">
        <v>498</v>
      </c>
      <c r="AD665" t="s">
        <v>132</v>
      </c>
      <c r="AE665" t="s">
        <v>133</v>
      </c>
      <c r="AF665" t="s">
        <v>100</v>
      </c>
      <c r="AG665" t="s">
        <v>102</v>
      </c>
      <c r="AH665" t="s">
        <v>102</v>
      </c>
      <c r="AI665" t="s">
        <v>134</v>
      </c>
      <c r="AJ665" t="s">
        <v>135</v>
      </c>
      <c r="AM665" t="s">
        <v>136</v>
      </c>
      <c r="AN665" t="s">
        <v>242</v>
      </c>
      <c r="AR665" t="s">
        <v>179</v>
      </c>
      <c r="AT665">
        <f t="shared" ref="AT665:AT670" si="31">((11+18)/2)*10</f>
        <v>145</v>
      </c>
      <c r="AW665" t="s">
        <v>108</v>
      </c>
      <c r="AX665">
        <v>5</v>
      </c>
      <c r="AY665" t="s">
        <v>134</v>
      </c>
      <c r="AZ665" t="s">
        <v>109</v>
      </c>
      <c r="BA665" t="s">
        <v>138</v>
      </c>
      <c r="BB665">
        <v>5</v>
      </c>
      <c r="BC665">
        <v>10</v>
      </c>
      <c r="BE665" t="s">
        <v>139</v>
      </c>
      <c r="BF665">
        <v>6</v>
      </c>
      <c r="BG665">
        <f t="shared" si="30"/>
        <v>3.3333333333333333E-2</v>
      </c>
      <c r="BS665" t="s">
        <v>230</v>
      </c>
      <c r="BU665" t="s">
        <v>1430</v>
      </c>
      <c r="BV665">
        <v>25.58</v>
      </c>
      <c r="BW665">
        <v>0.25814510000000002</v>
      </c>
      <c r="BX665">
        <v>10</v>
      </c>
      <c r="BY665">
        <v>26.12</v>
      </c>
      <c r="BZ665">
        <v>0.1613407</v>
      </c>
      <c r="CA665">
        <v>10</v>
      </c>
      <c r="CB665" t="s">
        <v>113</v>
      </c>
      <c r="CC665" t="s">
        <v>1415</v>
      </c>
    </row>
    <row r="666" spans="1:81" x14ac:dyDescent="0.25">
      <c r="A666" t="s">
        <v>81</v>
      </c>
      <c r="B666">
        <v>665</v>
      </c>
      <c r="C666">
        <v>125</v>
      </c>
      <c r="D666">
        <v>32</v>
      </c>
      <c r="E666">
        <v>131</v>
      </c>
      <c r="F666">
        <v>135</v>
      </c>
      <c r="G666">
        <v>386</v>
      </c>
      <c r="H666">
        <v>555</v>
      </c>
      <c r="I666" t="s">
        <v>1409</v>
      </c>
      <c r="J666" t="s">
        <v>691</v>
      </c>
      <c r="M666" t="s">
        <v>85</v>
      </c>
      <c r="O666" t="s">
        <v>14</v>
      </c>
      <c r="P666" t="s">
        <v>1410</v>
      </c>
      <c r="Q666" t="s">
        <v>1411</v>
      </c>
      <c r="R666">
        <v>1994</v>
      </c>
      <c r="S666" t="s">
        <v>494</v>
      </c>
      <c r="U666" t="s">
        <v>1412</v>
      </c>
      <c r="V666" t="s">
        <v>1413</v>
      </c>
      <c r="W666" t="s">
        <v>91</v>
      </c>
      <c r="X666" t="s">
        <v>126</v>
      </c>
      <c r="Y666" t="s">
        <v>190</v>
      </c>
      <c r="Z666" t="s">
        <v>191</v>
      </c>
      <c r="AA666" t="s">
        <v>496</v>
      </c>
      <c r="AB666" t="s">
        <v>497</v>
      </c>
      <c r="AC666" t="s">
        <v>498</v>
      </c>
      <c r="AD666" t="s">
        <v>132</v>
      </c>
      <c r="AE666" t="s">
        <v>133</v>
      </c>
      <c r="AF666" t="s">
        <v>100</v>
      </c>
      <c r="AG666" t="s">
        <v>102</v>
      </c>
      <c r="AH666" t="s">
        <v>102</v>
      </c>
      <c r="AI666" t="s">
        <v>134</v>
      </c>
      <c r="AJ666" t="s">
        <v>135</v>
      </c>
      <c r="AM666" t="s">
        <v>136</v>
      </c>
      <c r="AN666" t="s">
        <v>242</v>
      </c>
      <c r="AR666" t="s">
        <v>179</v>
      </c>
      <c r="AT666">
        <f t="shared" si="31"/>
        <v>145</v>
      </c>
      <c r="AW666" t="s">
        <v>108</v>
      </c>
      <c r="AX666">
        <v>5</v>
      </c>
      <c r="AY666" t="s">
        <v>103</v>
      </c>
      <c r="AZ666" t="s">
        <v>109</v>
      </c>
      <c r="BA666" t="s">
        <v>138</v>
      </c>
      <c r="BB666">
        <v>10</v>
      </c>
      <c r="BC666">
        <v>15</v>
      </c>
      <c r="BE666" t="s">
        <v>139</v>
      </c>
      <c r="BF666">
        <v>6</v>
      </c>
      <c r="BG666">
        <f t="shared" si="30"/>
        <v>3.3333333333333333E-2</v>
      </c>
      <c r="BU666" t="s">
        <v>1431</v>
      </c>
      <c r="BV666">
        <v>26.12</v>
      </c>
      <c r="BW666">
        <v>0.1613407</v>
      </c>
      <c r="BX666">
        <v>10</v>
      </c>
      <c r="BY666">
        <v>26.63</v>
      </c>
      <c r="BZ666">
        <v>0.22587699999999999</v>
      </c>
      <c r="CA666">
        <v>10</v>
      </c>
      <c r="CB666" t="s">
        <v>113</v>
      </c>
      <c r="CC666" t="s">
        <v>1415</v>
      </c>
    </row>
    <row r="667" spans="1:81" x14ac:dyDescent="0.25">
      <c r="A667" t="s">
        <v>81</v>
      </c>
      <c r="B667">
        <v>666</v>
      </c>
      <c r="C667">
        <v>125</v>
      </c>
      <c r="D667">
        <v>32</v>
      </c>
      <c r="E667">
        <v>131</v>
      </c>
      <c r="F667">
        <v>135</v>
      </c>
      <c r="G667">
        <v>386</v>
      </c>
      <c r="H667">
        <v>556</v>
      </c>
      <c r="I667" t="s">
        <v>1409</v>
      </c>
      <c r="J667" t="s">
        <v>691</v>
      </c>
      <c r="M667" t="s">
        <v>85</v>
      </c>
      <c r="O667" t="s">
        <v>14</v>
      </c>
      <c r="P667" t="s">
        <v>1410</v>
      </c>
      <c r="Q667" t="s">
        <v>1411</v>
      </c>
      <c r="R667">
        <v>1994</v>
      </c>
      <c r="S667" t="s">
        <v>494</v>
      </c>
      <c r="U667" t="s">
        <v>1412</v>
      </c>
      <c r="V667" t="s">
        <v>1413</v>
      </c>
      <c r="W667" t="s">
        <v>91</v>
      </c>
      <c r="X667" t="s">
        <v>126</v>
      </c>
      <c r="Y667" t="s">
        <v>190</v>
      </c>
      <c r="Z667" t="s">
        <v>191</v>
      </c>
      <c r="AA667" t="s">
        <v>496</v>
      </c>
      <c r="AB667" t="s">
        <v>497</v>
      </c>
      <c r="AC667" t="s">
        <v>498</v>
      </c>
      <c r="AD667" t="s">
        <v>132</v>
      </c>
      <c r="AE667" t="s">
        <v>133</v>
      </c>
      <c r="AF667" t="s">
        <v>100</v>
      </c>
      <c r="AG667" t="s">
        <v>102</v>
      </c>
      <c r="AH667" t="s">
        <v>102</v>
      </c>
      <c r="AI667" t="s">
        <v>134</v>
      </c>
      <c r="AJ667" t="s">
        <v>135</v>
      </c>
      <c r="AM667" t="s">
        <v>136</v>
      </c>
      <c r="AN667" t="s">
        <v>242</v>
      </c>
      <c r="AR667" t="s">
        <v>1422</v>
      </c>
      <c r="AT667">
        <f t="shared" si="31"/>
        <v>145</v>
      </c>
      <c r="AW667" t="s">
        <v>108</v>
      </c>
      <c r="AX667">
        <v>5</v>
      </c>
      <c r="AY667" t="s">
        <v>103</v>
      </c>
      <c r="AZ667" t="s">
        <v>109</v>
      </c>
      <c r="BA667" t="s">
        <v>138</v>
      </c>
      <c r="BB667">
        <v>15</v>
      </c>
      <c r="BC667">
        <v>20</v>
      </c>
      <c r="BE667" t="s">
        <v>139</v>
      </c>
      <c r="BF667">
        <v>6</v>
      </c>
      <c r="BG667">
        <f t="shared" si="30"/>
        <v>3.3333333333333333E-2</v>
      </c>
      <c r="BU667" t="s">
        <v>1431</v>
      </c>
      <c r="BV667">
        <v>26.63</v>
      </c>
      <c r="BW667">
        <v>0.22587699999999999</v>
      </c>
      <c r="BX667">
        <v>10</v>
      </c>
      <c r="BY667">
        <v>26.71</v>
      </c>
      <c r="BZ667">
        <v>9.6804399999999999E-2</v>
      </c>
      <c r="CA667">
        <v>10</v>
      </c>
      <c r="CB667" t="s">
        <v>113</v>
      </c>
      <c r="CC667" t="s">
        <v>1415</v>
      </c>
    </row>
    <row r="668" spans="1:81" x14ac:dyDescent="0.25">
      <c r="A668" t="s">
        <v>81</v>
      </c>
      <c r="B668">
        <v>667</v>
      </c>
      <c r="C668">
        <v>125</v>
      </c>
      <c r="D668">
        <v>32</v>
      </c>
      <c r="E668">
        <v>131</v>
      </c>
      <c r="F668">
        <v>136</v>
      </c>
      <c r="G668">
        <v>387</v>
      </c>
      <c r="H668">
        <v>557</v>
      </c>
      <c r="I668" t="s">
        <v>1409</v>
      </c>
      <c r="J668" t="s">
        <v>691</v>
      </c>
      <c r="M668" t="s">
        <v>85</v>
      </c>
      <c r="O668" t="s">
        <v>14</v>
      </c>
      <c r="P668" t="s">
        <v>1410</v>
      </c>
      <c r="Q668" t="s">
        <v>1411</v>
      </c>
      <c r="R668">
        <v>1994</v>
      </c>
      <c r="S668" t="s">
        <v>494</v>
      </c>
      <c r="U668" t="s">
        <v>1412</v>
      </c>
      <c r="V668" t="s">
        <v>1413</v>
      </c>
      <c r="W668" t="s">
        <v>91</v>
      </c>
      <c r="X668" t="s">
        <v>126</v>
      </c>
      <c r="Y668" t="s">
        <v>190</v>
      </c>
      <c r="Z668" t="s">
        <v>191</v>
      </c>
      <c r="AA668" t="s">
        <v>496</v>
      </c>
      <c r="AB668" t="s">
        <v>497</v>
      </c>
      <c r="AC668" t="s">
        <v>498</v>
      </c>
      <c r="AD668" t="s">
        <v>132</v>
      </c>
      <c r="AE668" t="s">
        <v>133</v>
      </c>
      <c r="AF668" t="s">
        <v>100</v>
      </c>
      <c r="AG668" t="s">
        <v>102</v>
      </c>
      <c r="AH668" t="s">
        <v>102</v>
      </c>
      <c r="AI668" t="s">
        <v>134</v>
      </c>
      <c r="AJ668" t="s">
        <v>135</v>
      </c>
      <c r="AM668" t="s">
        <v>136</v>
      </c>
      <c r="AN668" t="s">
        <v>242</v>
      </c>
      <c r="AR668" t="s">
        <v>107</v>
      </c>
      <c r="AT668">
        <f t="shared" si="31"/>
        <v>145</v>
      </c>
      <c r="AW668" t="s">
        <v>108</v>
      </c>
      <c r="AX668">
        <v>5</v>
      </c>
      <c r="AY668" t="s">
        <v>134</v>
      </c>
      <c r="AZ668" t="s">
        <v>109</v>
      </c>
      <c r="BA668" t="s">
        <v>138</v>
      </c>
      <c r="BB668">
        <v>5</v>
      </c>
      <c r="BC668">
        <v>10</v>
      </c>
      <c r="BE668" t="s">
        <v>139</v>
      </c>
      <c r="BF668">
        <v>6</v>
      </c>
      <c r="BG668">
        <f t="shared" si="30"/>
        <v>3.3333333333333333E-2</v>
      </c>
      <c r="BS668" t="s">
        <v>230</v>
      </c>
      <c r="BU668" t="s">
        <v>1432</v>
      </c>
      <c r="BV668">
        <v>25.53</v>
      </c>
      <c r="BW668">
        <v>0.29041329999999999</v>
      </c>
      <c r="BX668">
        <v>10</v>
      </c>
      <c r="BY668">
        <v>26.21</v>
      </c>
      <c r="BZ668">
        <v>0.33881549999999999</v>
      </c>
      <c r="CA668">
        <v>10</v>
      </c>
      <c r="CB668" t="s">
        <v>113</v>
      </c>
      <c r="CC668" t="s">
        <v>1415</v>
      </c>
    </row>
    <row r="669" spans="1:81" x14ac:dyDescent="0.25">
      <c r="A669" t="s">
        <v>81</v>
      </c>
      <c r="B669">
        <v>668</v>
      </c>
      <c r="C669">
        <v>125</v>
      </c>
      <c r="D669">
        <v>32</v>
      </c>
      <c r="E669">
        <v>131</v>
      </c>
      <c r="F669">
        <v>136</v>
      </c>
      <c r="G669">
        <v>387</v>
      </c>
      <c r="H669">
        <v>558</v>
      </c>
      <c r="I669" t="s">
        <v>1409</v>
      </c>
      <c r="J669" t="s">
        <v>691</v>
      </c>
      <c r="M669" t="s">
        <v>85</v>
      </c>
      <c r="O669" t="s">
        <v>14</v>
      </c>
      <c r="P669" t="s">
        <v>1410</v>
      </c>
      <c r="Q669" t="s">
        <v>1411</v>
      </c>
      <c r="R669">
        <v>1994</v>
      </c>
      <c r="S669" t="s">
        <v>494</v>
      </c>
      <c r="U669" t="s">
        <v>1412</v>
      </c>
      <c r="V669" t="s">
        <v>1413</v>
      </c>
      <c r="W669" t="s">
        <v>91</v>
      </c>
      <c r="X669" t="s">
        <v>126</v>
      </c>
      <c r="Y669" t="s">
        <v>190</v>
      </c>
      <c r="Z669" t="s">
        <v>191</v>
      </c>
      <c r="AA669" t="s">
        <v>496</v>
      </c>
      <c r="AB669" t="s">
        <v>497</v>
      </c>
      <c r="AC669" t="s">
        <v>498</v>
      </c>
      <c r="AD669" t="s">
        <v>132</v>
      </c>
      <c r="AE669" t="s">
        <v>133</v>
      </c>
      <c r="AF669" t="s">
        <v>100</v>
      </c>
      <c r="AG669" t="s">
        <v>102</v>
      </c>
      <c r="AH669" t="s">
        <v>102</v>
      </c>
      <c r="AI669" t="s">
        <v>134</v>
      </c>
      <c r="AJ669" t="s">
        <v>135</v>
      </c>
      <c r="AM669" t="s">
        <v>136</v>
      </c>
      <c r="AN669" t="s">
        <v>242</v>
      </c>
      <c r="AR669" t="s">
        <v>107</v>
      </c>
      <c r="AT669">
        <f t="shared" si="31"/>
        <v>145</v>
      </c>
      <c r="AW669" t="s">
        <v>108</v>
      </c>
      <c r="AX669">
        <v>5</v>
      </c>
      <c r="AY669" t="s">
        <v>103</v>
      </c>
      <c r="AZ669" t="s">
        <v>109</v>
      </c>
      <c r="BA669" t="s">
        <v>138</v>
      </c>
      <c r="BB669">
        <v>10</v>
      </c>
      <c r="BC669">
        <v>15</v>
      </c>
      <c r="BE669" t="s">
        <v>139</v>
      </c>
      <c r="BF669">
        <v>6</v>
      </c>
      <c r="BG669">
        <f t="shared" si="30"/>
        <v>3.3333333333333333E-2</v>
      </c>
      <c r="BU669" t="s">
        <v>1433</v>
      </c>
      <c r="BV669">
        <v>26.21</v>
      </c>
      <c r="BW669">
        <v>0.33881549999999999</v>
      </c>
      <c r="BX669">
        <v>10</v>
      </c>
      <c r="BY669">
        <v>26.11</v>
      </c>
      <c r="BZ669">
        <v>0.1129385</v>
      </c>
      <c r="CA669">
        <v>10</v>
      </c>
      <c r="CB669" t="s">
        <v>113</v>
      </c>
      <c r="CC669" t="s">
        <v>1415</v>
      </c>
    </row>
    <row r="670" spans="1:81" x14ac:dyDescent="0.25">
      <c r="A670" t="s">
        <v>81</v>
      </c>
      <c r="B670">
        <v>669</v>
      </c>
      <c r="C670">
        <v>125</v>
      </c>
      <c r="D670">
        <v>32</v>
      </c>
      <c r="E670">
        <v>131</v>
      </c>
      <c r="F670">
        <v>136</v>
      </c>
      <c r="G670">
        <v>387</v>
      </c>
      <c r="H670">
        <v>559</v>
      </c>
      <c r="I670" t="s">
        <v>1409</v>
      </c>
      <c r="J670" t="s">
        <v>691</v>
      </c>
      <c r="M670" t="s">
        <v>85</v>
      </c>
      <c r="O670" t="s">
        <v>14</v>
      </c>
      <c r="P670" t="s">
        <v>1410</v>
      </c>
      <c r="Q670" t="s">
        <v>1411</v>
      </c>
      <c r="R670">
        <v>1994</v>
      </c>
      <c r="S670" t="s">
        <v>494</v>
      </c>
      <c r="U670" t="s">
        <v>1412</v>
      </c>
      <c r="V670" t="s">
        <v>1413</v>
      </c>
      <c r="W670" t="s">
        <v>91</v>
      </c>
      <c r="X670" t="s">
        <v>126</v>
      </c>
      <c r="Y670" t="s">
        <v>190</v>
      </c>
      <c r="Z670" t="s">
        <v>191</v>
      </c>
      <c r="AA670" t="s">
        <v>496</v>
      </c>
      <c r="AB670" t="s">
        <v>497</v>
      </c>
      <c r="AC670" t="s">
        <v>498</v>
      </c>
      <c r="AD670" t="s">
        <v>132</v>
      </c>
      <c r="AE670" t="s">
        <v>133</v>
      </c>
      <c r="AF670" t="s">
        <v>100</v>
      </c>
      <c r="AG670" t="s">
        <v>102</v>
      </c>
      <c r="AH670" t="s">
        <v>102</v>
      </c>
      <c r="AI670" t="s">
        <v>134</v>
      </c>
      <c r="AJ670" t="s">
        <v>135</v>
      </c>
      <c r="AM670" t="s">
        <v>136</v>
      </c>
      <c r="AN670" t="s">
        <v>242</v>
      </c>
      <c r="AR670" t="s">
        <v>107</v>
      </c>
      <c r="AT670">
        <f t="shared" si="31"/>
        <v>145</v>
      </c>
      <c r="AW670" t="s">
        <v>108</v>
      </c>
      <c r="AX670">
        <v>5</v>
      </c>
      <c r="AY670" t="s">
        <v>103</v>
      </c>
      <c r="AZ670" t="s">
        <v>109</v>
      </c>
      <c r="BA670" t="s">
        <v>138</v>
      </c>
      <c r="BB670">
        <v>15</v>
      </c>
      <c r="BC670">
        <v>20</v>
      </c>
      <c r="BE670" t="s">
        <v>139</v>
      </c>
      <c r="BF670">
        <v>6</v>
      </c>
      <c r="BG670">
        <f t="shared" si="30"/>
        <v>3.3333333333333333E-2</v>
      </c>
      <c r="BU670" t="s">
        <v>1433</v>
      </c>
      <c r="BV670">
        <v>26.11</v>
      </c>
      <c r="BW670">
        <v>0.1129385</v>
      </c>
      <c r="BX670">
        <v>10</v>
      </c>
      <c r="BY670">
        <v>26.73</v>
      </c>
      <c r="BZ670">
        <v>0.72603309999999999</v>
      </c>
      <c r="CA670">
        <v>10</v>
      </c>
      <c r="CB670" t="s">
        <v>113</v>
      </c>
      <c r="CC670" t="s">
        <v>1415</v>
      </c>
    </row>
    <row r="671" spans="1:81" x14ac:dyDescent="0.25">
      <c r="A671" t="s">
        <v>81</v>
      </c>
      <c r="B671">
        <v>670</v>
      </c>
      <c r="C671">
        <v>125</v>
      </c>
      <c r="D671">
        <v>32</v>
      </c>
      <c r="E671">
        <v>130</v>
      </c>
      <c r="F671">
        <v>133</v>
      </c>
      <c r="G671">
        <v>388</v>
      </c>
      <c r="H671">
        <v>560</v>
      </c>
      <c r="I671" t="s">
        <v>1409</v>
      </c>
      <c r="J671" t="s">
        <v>691</v>
      </c>
      <c r="M671" t="s">
        <v>85</v>
      </c>
      <c r="O671" t="s">
        <v>14</v>
      </c>
      <c r="P671" t="s">
        <v>1410</v>
      </c>
      <c r="Q671" t="s">
        <v>1411</v>
      </c>
      <c r="R671">
        <v>1994</v>
      </c>
      <c r="S671" t="s">
        <v>494</v>
      </c>
      <c r="U671" t="s">
        <v>1412</v>
      </c>
      <c r="V671" t="s">
        <v>1413</v>
      </c>
      <c r="W671" t="s">
        <v>91</v>
      </c>
      <c r="X671" t="s">
        <v>126</v>
      </c>
      <c r="Y671" t="s">
        <v>190</v>
      </c>
      <c r="Z671" t="s">
        <v>191</v>
      </c>
      <c r="AA671" t="s">
        <v>496</v>
      </c>
      <c r="AB671" t="s">
        <v>497</v>
      </c>
      <c r="AC671" t="s">
        <v>498</v>
      </c>
      <c r="AD671" t="s">
        <v>132</v>
      </c>
      <c r="AE671" t="s">
        <v>133</v>
      </c>
      <c r="AF671" t="s">
        <v>100</v>
      </c>
      <c r="AG671" t="s">
        <v>102</v>
      </c>
      <c r="AH671" t="s">
        <v>102</v>
      </c>
      <c r="AI671" t="s">
        <v>134</v>
      </c>
      <c r="AJ671" t="s">
        <v>135</v>
      </c>
      <c r="AM671" t="s">
        <v>136</v>
      </c>
      <c r="AN671" t="s">
        <v>242</v>
      </c>
      <c r="AR671" t="s">
        <v>179</v>
      </c>
      <c r="AT671">
        <v>14</v>
      </c>
      <c r="AW671" t="s">
        <v>108</v>
      </c>
      <c r="AX671">
        <v>5</v>
      </c>
      <c r="AY671" t="s">
        <v>134</v>
      </c>
      <c r="AZ671" t="s">
        <v>212</v>
      </c>
      <c r="BA671" t="s">
        <v>138</v>
      </c>
      <c r="BB671">
        <v>5</v>
      </c>
      <c r="BC671">
        <v>10</v>
      </c>
      <c r="BE671" t="s">
        <v>139</v>
      </c>
      <c r="BF671">
        <v>3.5</v>
      </c>
      <c r="BH671">
        <f t="shared" ref="BH671:BH689" si="32">7*24</f>
        <v>168</v>
      </c>
      <c r="BS671" t="s">
        <v>230</v>
      </c>
      <c r="BT671" t="s">
        <v>1434</v>
      </c>
      <c r="BU671" t="s">
        <v>1435</v>
      </c>
      <c r="BV671">
        <v>18.329999999999998</v>
      </c>
      <c r="BW671">
        <v>0.58324160000000003</v>
      </c>
      <c r="BX671">
        <v>12</v>
      </c>
      <c r="BY671">
        <v>19.670000000000002</v>
      </c>
      <c r="BZ671">
        <v>1.5376369999999999</v>
      </c>
      <c r="CA671">
        <v>12</v>
      </c>
      <c r="CB671" t="s">
        <v>113</v>
      </c>
      <c r="CC671" t="s">
        <v>1415</v>
      </c>
    </row>
    <row r="672" spans="1:81" x14ac:dyDescent="0.25">
      <c r="A672" t="s">
        <v>81</v>
      </c>
      <c r="B672">
        <v>671</v>
      </c>
      <c r="C672">
        <v>125</v>
      </c>
      <c r="D672">
        <v>32</v>
      </c>
      <c r="E672">
        <v>130</v>
      </c>
      <c r="F672">
        <v>133</v>
      </c>
      <c r="G672">
        <v>388</v>
      </c>
      <c r="H672">
        <v>561</v>
      </c>
      <c r="I672" t="s">
        <v>1409</v>
      </c>
      <c r="J672" t="s">
        <v>691</v>
      </c>
      <c r="M672" t="s">
        <v>85</v>
      </c>
      <c r="O672" t="s">
        <v>14</v>
      </c>
      <c r="P672" t="s">
        <v>1410</v>
      </c>
      <c r="Q672" t="s">
        <v>1411</v>
      </c>
      <c r="R672">
        <v>1994</v>
      </c>
      <c r="S672" t="s">
        <v>494</v>
      </c>
      <c r="U672" t="s">
        <v>1412</v>
      </c>
      <c r="V672" t="s">
        <v>1413</v>
      </c>
      <c r="W672" t="s">
        <v>91</v>
      </c>
      <c r="X672" t="s">
        <v>126</v>
      </c>
      <c r="Y672" t="s">
        <v>190</v>
      </c>
      <c r="Z672" t="s">
        <v>191</v>
      </c>
      <c r="AA672" t="s">
        <v>496</v>
      </c>
      <c r="AB672" t="s">
        <v>497</v>
      </c>
      <c r="AC672" t="s">
        <v>498</v>
      </c>
      <c r="AD672" t="s">
        <v>132</v>
      </c>
      <c r="AE672" t="s">
        <v>133</v>
      </c>
      <c r="AF672" t="s">
        <v>100</v>
      </c>
      <c r="AG672" t="s">
        <v>102</v>
      </c>
      <c r="AH672" t="s">
        <v>102</v>
      </c>
      <c r="AI672" t="s">
        <v>134</v>
      </c>
      <c r="AJ672" t="s">
        <v>135</v>
      </c>
      <c r="AM672" t="s">
        <v>136</v>
      </c>
      <c r="AN672" t="s">
        <v>242</v>
      </c>
      <c r="AR672" t="s">
        <v>179</v>
      </c>
      <c r="AT672">
        <v>14</v>
      </c>
      <c r="AW672" t="s">
        <v>108</v>
      </c>
      <c r="AX672">
        <v>5</v>
      </c>
      <c r="AY672" t="s">
        <v>103</v>
      </c>
      <c r="AZ672" t="s">
        <v>212</v>
      </c>
      <c r="BA672" t="s">
        <v>138</v>
      </c>
      <c r="BB672">
        <v>10</v>
      </c>
      <c r="BC672">
        <v>15</v>
      </c>
      <c r="BE672" t="s">
        <v>139</v>
      </c>
      <c r="BF672">
        <v>3.5</v>
      </c>
      <c r="BH672">
        <f t="shared" si="32"/>
        <v>168</v>
      </c>
      <c r="BT672" t="s">
        <v>1434</v>
      </c>
      <c r="BU672" t="s">
        <v>1436</v>
      </c>
      <c r="BV672">
        <v>19.670000000000002</v>
      </c>
      <c r="BW672">
        <v>1.5376369999999999</v>
      </c>
      <c r="BX672">
        <v>12</v>
      </c>
      <c r="BY672">
        <v>20.83</v>
      </c>
      <c r="BZ672">
        <v>1.838095</v>
      </c>
      <c r="CA672">
        <v>12</v>
      </c>
      <c r="CB672" t="s">
        <v>113</v>
      </c>
      <c r="CC672" t="s">
        <v>1415</v>
      </c>
    </row>
    <row r="673" spans="1:81" x14ac:dyDescent="0.25">
      <c r="A673" t="s">
        <v>81</v>
      </c>
      <c r="B673">
        <v>672</v>
      </c>
      <c r="C673">
        <v>125</v>
      </c>
      <c r="D673">
        <v>32</v>
      </c>
      <c r="E673">
        <v>130</v>
      </c>
      <c r="F673">
        <v>133</v>
      </c>
      <c r="G673">
        <v>388</v>
      </c>
      <c r="H673">
        <v>562</v>
      </c>
      <c r="I673" t="s">
        <v>1409</v>
      </c>
      <c r="J673" t="s">
        <v>691</v>
      </c>
      <c r="M673" t="s">
        <v>85</v>
      </c>
      <c r="O673" t="s">
        <v>14</v>
      </c>
      <c r="P673" t="s">
        <v>1410</v>
      </c>
      <c r="Q673" t="s">
        <v>1411</v>
      </c>
      <c r="R673">
        <v>1994</v>
      </c>
      <c r="S673" t="s">
        <v>494</v>
      </c>
      <c r="U673" t="s">
        <v>1412</v>
      </c>
      <c r="V673" t="s">
        <v>1413</v>
      </c>
      <c r="W673" t="s">
        <v>91</v>
      </c>
      <c r="X673" t="s">
        <v>126</v>
      </c>
      <c r="Y673" t="s">
        <v>190</v>
      </c>
      <c r="Z673" t="s">
        <v>191</v>
      </c>
      <c r="AA673" t="s">
        <v>496</v>
      </c>
      <c r="AB673" t="s">
        <v>497</v>
      </c>
      <c r="AC673" t="s">
        <v>498</v>
      </c>
      <c r="AD673" t="s">
        <v>132</v>
      </c>
      <c r="AE673" t="s">
        <v>133</v>
      </c>
      <c r="AF673" t="s">
        <v>100</v>
      </c>
      <c r="AG673" t="s">
        <v>102</v>
      </c>
      <c r="AH673" t="s">
        <v>102</v>
      </c>
      <c r="AI673" t="s">
        <v>134</v>
      </c>
      <c r="AJ673" t="s">
        <v>135</v>
      </c>
      <c r="AM673" t="s">
        <v>136</v>
      </c>
      <c r="AN673" t="s">
        <v>242</v>
      </c>
      <c r="AR673" t="s">
        <v>179</v>
      </c>
      <c r="AT673">
        <v>14</v>
      </c>
      <c r="AW673" t="s">
        <v>108</v>
      </c>
      <c r="AX673">
        <v>5</v>
      </c>
      <c r="AY673" t="s">
        <v>103</v>
      </c>
      <c r="AZ673" t="s">
        <v>212</v>
      </c>
      <c r="BA673" t="s">
        <v>138</v>
      </c>
      <c r="BB673">
        <v>15</v>
      </c>
      <c r="BC673">
        <v>20</v>
      </c>
      <c r="BE673" t="s">
        <v>139</v>
      </c>
      <c r="BF673">
        <v>3.5</v>
      </c>
      <c r="BH673">
        <f t="shared" si="32"/>
        <v>168</v>
      </c>
      <c r="BT673" t="s">
        <v>1434</v>
      </c>
      <c r="BU673" t="s">
        <v>1436</v>
      </c>
      <c r="BV673">
        <v>20.83</v>
      </c>
      <c r="BW673">
        <v>1.838095</v>
      </c>
      <c r="BX673">
        <v>12</v>
      </c>
      <c r="BY673">
        <v>20.83</v>
      </c>
      <c r="BZ673">
        <v>0.44184970000000001</v>
      </c>
      <c r="CA673">
        <v>12</v>
      </c>
      <c r="CB673" t="s">
        <v>113</v>
      </c>
      <c r="CC673" t="s">
        <v>1415</v>
      </c>
    </row>
    <row r="674" spans="1:81" x14ac:dyDescent="0.25">
      <c r="A674" t="s">
        <v>81</v>
      </c>
      <c r="B674">
        <v>673</v>
      </c>
      <c r="C674">
        <v>125</v>
      </c>
      <c r="D674">
        <v>32</v>
      </c>
      <c r="E674">
        <v>130</v>
      </c>
      <c r="F674">
        <v>133</v>
      </c>
      <c r="G674">
        <v>389</v>
      </c>
      <c r="H674">
        <v>563</v>
      </c>
      <c r="I674" t="s">
        <v>1409</v>
      </c>
      <c r="J674" t="s">
        <v>691</v>
      </c>
      <c r="M674" t="s">
        <v>85</v>
      </c>
      <c r="O674" t="s">
        <v>14</v>
      </c>
      <c r="P674" t="s">
        <v>1410</v>
      </c>
      <c r="Q674" t="s">
        <v>1411</v>
      </c>
      <c r="R674">
        <v>1994</v>
      </c>
      <c r="S674" t="s">
        <v>494</v>
      </c>
      <c r="U674" t="s">
        <v>1412</v>
      </c>
      <c r="V674" t="s">
        <v>1413</v>
      </c>
      <c r="W674" t="s">
        <v>91</v>
      </c>
      <c r="X674" t="s">
        <v>126</v>
      </c>
      <c r="Y674" t="s">
        <v>190</v>
      </c>
      <c r="Z674" t="s">
        <v>191</v>
      </c>
      <c r="AA674" t="s">
        <v>496</v>
      </c>
      <c r="AB674" t="s">
        <v>497</v>
      </c>
      <c r="AC674" t="s">
        <v>498</v>
      </c>
      <c r="AD674" t="s">
        <v>132</v>
      </c>
      <c r="AE674" t="s">
        <v>133</v>
      </c>
      <c r="AF674" t="s">
        <v>100</v>
      </c>
      <c r="AG674" t="s">
        <v>102</v>
      </c>
      <c r="AH674" t="s">
        <v>102</v>
      </c>
      <c r="AI674" t="s">
        <v>134</v>
      </c>
      <c r="AJ674" t="s">
        <v>135</v>
      </c>
      <c r="AM674" t="s">
        <v>136</v>
      </c>
      <c r="AN674" t="s">
        <v>242</v>
      </c>
      <c r="AR674" t="s">
        <v>179</v>
      </c>
      <c r="AT674">
        <v>18</v>
      </c>
      <c r="AW674" t="s">
        <v>108</v>
      </c>
      <c r="AX674">
        <v>5</v>
      </c>
      <c r="AY674" t="s">
        <v>134</v>
      </c>
      <c r="AZ674" t="s">
        <v>212</v>
      </c>
      <c r="BA674" t="s">
        <v>138</v>
      </c>
      <c r="BB674">
        <v>5</v>
      </c>
      <c r="BC674">
        <v>10</v>
      </c>
      <c r="BE674" t="s">
        <v>139</v>
      </c>
      <c r="BF674">
        <v>3.5</v>
      </c>
      <c r="BH674">
        <f t="shared" si="32"/>
        <v>168</v>
      </c>
      <c r="BS674" t="s">
        <v>230</v>
      </c>
      <c r="BT674" t="s">
        <v>1437</v>
      </c>
      <c r="BU674" t="s">
        <v>1438</v>
      </c>
      <c r="BV674">
        <v>21.67</v>
      </c>
      <c r="BW674">
        <v>0.88369940000000002</v>
      </c>
      <c r="BX674">
        <v>12</v>
      </c>
      <c r="BY674">
        <v>22</v>
      </c>
      <c r="BZ674" t="s">
        <v>454</v>
      </c>
      <c r="CA674">
        <v>12</v>
      </c>
      <c r="CB674" t="s">
        <v>113</v>
      </c>
      <c r="CC674" t="s">
        <v>1439</v>
      </c>
    </row>
    <row r="675" spans="1:81" x14ac:dyDescent="0.25">
      <c r="A675" t="s">
        <v>81</v>
      </c>
      <c r="B675">
        <v>674</v>
      </c>
      <c r="C675">
        <v>125</v>
      </c>
      <c r="D675">
        <v>32</v>
      </c>
      <c r="E675">
        <v>130</v>
      </c>
      <c r="F675">
        <v>133</v>
      </c>
      <c r="G675">
        <v>389</v>
      </c>
      <c r="H675">
        <v>564</v>
      </c>
      <c r="I675" t="s">
        <v>1409</v>
      </c>
      <c r="J675" t="s">
        <v>691</v>
      </c>
      <c r="M675" t="s">
        <v>85</v>
      </c>
      <c r="O675" t="s">
        <v>14</v>
      </c>
      <c r="P675" t="s">
        <v>1410</v>
      </c>
      <c r="Q675" t="s">
        <v>1411</v>
      </c>
      <c r="R675">
        <v>1994</v>
      </c>
      <c r="S675" t="s">
        <v>494</v>
      </c>
      <c r="U675" t="s">
        <v>1412</v>
      </c>
      <c r="V675" t="s">
        <v>1413</v>
      </c>
      <c r="W675" t="s">
        <v>91</v>
      </c>
      <c r="X675" t="s">
        <v>126</v>
      </c>
      <c r="Y675" t="s">
        <v>190</v>
      </c>
      <c r="Z675" t="s">
        <v>191</v>
      </c>
      <c r="AA675" t="s">
        <v>496</v>
      </c>
      <c r="AB675" t="s">
        <v>497</v>
      </c>
      <c r="AC675" t="s">
        <v>498</v>
      </c>
      <c r="AD675" t="s">
        <v>132</v>
      </c>
      <c r="AE675" t="s">
        <v>133</v>
      </c>
      <c r="AF675" t="s">
        <v>100</v>
      </c>
      <c r="AG675" t="s">
        <v>102</v>
      </c>
      <c r="AH675" t="s">
        <v>102</v>
      </c>
      <c r="AI675" t="s">
        <v>134</v>
      </c>
      <c r="AJ675" t="s">
        <v>135</v>
      </c>
      <c r="AM675" t="s">
        <v>136</v>
      </c>
      <c r="AN675" t="s">
        <v>242</v>
      </c>
      <c r="AR675" t="s">
        <v>179</v>
      </c>
      <c r="AT675">
        <v>18</v>
      </c>
      <c r="AW675" t="s">
        <v>108</v>
      </c>
      <c r="AX675">
        <v>5</v>
      </c>
      <c r="AY675" t="s">
        <v>103</v>
      </c>
      <c r="AZ675" t="s">
        <v>212</v>
      </c>
      <c r="BA675" t="s">
        <v>138</v>
      </c>
      <c r="BB675">
        <v>10</v>
      </c>
      <c r="BC675">
        <v>15</v>
      </c>
      <c r="BE675" t="s">
        <v>139</v>
      </c>
      <c r="BF675">
        <v>3.5</v>
      </c>
      <c r="BH675">
        <f t="shared" si="32"/>
        <v>168</v>
      </c>
      <c r="BT675" t="s">
        <v>1437</v>
      </c>
      <c r="BU675" t="s">
        <v>1440</v>
      </c>
      <c r="BV675">
        <v>22</v>
      </c>
      <c r="BW675" t="s">
        <v>454</v>
      </c>
      <c r="BX675">
        <v>12</v>
      </c>
      <c r="BY675">
        <v>20.75</v>
      </c>
      <c r="BZ675">
        <v>0.97206930000000003</v>
      </c>
      <c r="CA675">
        <v>12</v>
      </c>
      <c r="CB675" t="s">
        <v>113</v>
      </c>
      <c r="CC675" t="s">
        <v>1415</v>
      </c>
    </row>
    <row r="676" spans="1:81" x14ac:dyDescent="0.25">
      <c r="A676" t="s">
        <v>81</v>
      </c>
      <c r="B676">
        <v>675</v>
      </c>
      <c r="C676">
        <v>125</v>
      </c>
      <c r="D676">
        <v>32</v>
      </c>
      <c r="E676">
        <v>130</v>
      </c>
      <c r="F676">
        <v>133</v>
      </c>
      <c r="G676">
        <v>389</v>
      </c>
      <c r="H676">
        <v>565</v>
      </c>
      <c r="I676" t="s">
        <v>1409</v>
      </c>
      <c r="J676" t="s">
        <v>691</v>
      </c>
      <c r="M676" t="s">
        <v>85</v>
      </c>
      <c r="O676" t="s">
        <v>14</v>
      </c>
      <c r="P676" t="s">
        <v>1410</v>
      </c>
      <c r="Q676" t="s">
        <v>1411</v>
      </c>
      <c r="R676">
        <v>1994</v>
      </c>
      <c r="S676" t="s">
        <v>494</v>
      </c>
      <c r="U676" t="s">
        <v>1412</v>
      </c>
      <c r="V676" t="s">
        <v>1413</v>
      </c>
      <c r="W676" t="s">
        <v>91</v>
      </c>
      <c r="X676" t="s">
        <v>126</v>
      </c>
      <c r="Y676" t="s">
        <v>190</v>
      </c>
      <c r="Z676" t="s">
        <v>191</v>
      </c>
      <c r="AA676" t="s">
        <v>496</v>
      </c>
      <c r="AB676" t="s">
        <v>497</v>
      </c>
      <c r="AC676" t="s">
        <v>498</v>
      </c>
      <c r="AD676" t="s">
        <v>132</v>
      </c>
      <c r="AE676" t="s">
        <v>133</v>
      </c>
      <c r="AF676" t="s">
        <v>100</v>
      </c>
      <c r="AG676" t="s">
        <v>102</v>
      </c>
      <c r="AH676" t="s">
        <v>102</v>
      </c>
      <c r="AI676" t="s">
        <v>134</v>
      </c>
      <c r="AJ676" t="s">
        <v>135</v>
      </c>
      <c r="AM676" t="s">
        <v>136</v>
      </c>
      <c r="AN676" t="s">
        <v>242</v>
      </c>
      <c r="AR676" t="s">
        <v>179</v>
      </c>
      <c r="AT676">
        <v>18</v>
      </c>
      <c r="AW676" t="s">
        <v>108</v>
      </c>
      <c r="AX676">
        <v>5</v>
      </c>
      <c r="AY676" t="s">
        <v>103</v>
      </c>
      <c r="AZ676" t="s">
        <v>212</v>
      </c>
      <c r="BA676" t="s">
        <v>138</v>
      </c>
      <c r="BB676">
        <v>15</v>
      </c>
      <c r="BC676">
        <v>20</v>
      </c>
      <c r="BE676" t="s">
        <v>139</v>
      </c>
      <c r="BF676">
        <v>3.5</v>
      </c>
      <c r="BH676">
        <f t="shared" si="32"/>
        <v>168</v>
      </c>
      <c r="BT676" t="s">
        <v>1434</v>
      </c>
      <c r="BU676" t="s">
        <v>1440</v>
      </c>
      <c r="BV676">
        <v>20.75</v>
      </c>
      <c r="BW676">
        <v>0.97206930000000003</v>
      </c>
      <c r="BX676">
        <v>12</v>
      </c>
      <c r="BY676">
        <v>20.83</v>
      </c>
      <c r="BZ676">
        <v>0.93672140000000004</v>
      </c>
      <c r="CA676">
        <v>12</v>
      </c>
      <c r="CB676" t="s">
        <v>113</v>
      </c>
      <c r="CC676" t="s">
        <v>1415</v>
      </c>
    </row>
    <row r="677" spans="1:81" x14ac:dyDescent="0.25">
      <c r="A677" t="s">
        <v>81</v>
      </c>
      <c r="B677">
        <v>676</v>
      </c>
      <c r="C677">
        <v>125</v>
      </c>
      <c r="D677">
        <v>32</v>
      </c>
      <c r="E677">
        <v>130</v>
      </c>
      <c r="F677">
        <v>133</v>
      </c>
      <c r="G677">
        <v>390</v>
      </c>
      <c r="H677">
        <v>566</v>
      </c>
      <c r="I677" t="s">
        <v>1409</v>
      </c>
      <c r="J677" t="s">
        <v>691</v>
      </c>
      <c r="M677" t="s">
        <v>85</v>
      </c>
      <c r="O677" t="s">
        <v>14</v>
      </c>
      <c r="P677" t="s">
        <v>1410</v>
      </c>
      <c r="Q677" t="s">
        <v>1411</v>
      </c>
      <c r="R677">
        <v>1994</v>
      </c>
      <c r="S677" t="s">
        <v>494</v>
      </c>
      <c r="U677" t="s">
        <v>1412</v>
      </c>
      <c r="V677" t="s">
        <v>1413</v>
      </c>
      <c r="W677" t="s">
        <v>91</v>
      </c>
      <c r="X677" t="s">
        <v>126</v>
      </c>
      <c r="Y677" t="s">
        <v>190</v>
      </c>
      <c r="Z677" t="s">
        <v>191</v>
      </c>
      <c r="AA677" t="s">
        <v>496</v>
      </c>
      <c r="AB677" t="s">
        <v>497</v>
      </c>
      <c r="AC677" t="s">
        <v>498</v>
      </c>
      <c r="AD677" t="s">
        <v>132</v>
      </c>
      <c r="AE677" t="s">
        <v>133</v>
      </c>
      <c r="AF677" t="s">
        <v>100</v>
      </c>
      <c r="AG677" t="s">
        <v>102</v>
      </c>
      <c r="AH677" t="s">
        <v>102</v>
      </c>
      <c r="AI677" t="s">
        <v>134</v>
      </c>
      <c r="AJ677" t="s">
        <v>135</v>
      </c>
      <c r="AM677" t="s">
        <v>136</v>
      </c>
      <c r="AN677" t="s">
        <v>242</v>
      </c>
      <c r="AR677" t="s">
        <v>179</v>
      </c>
      <c r="AT677">
        <f>((11+18)/2)*10</f>
        <v>145</v>
      </c>
      <c r="AW677" t="s">
        <v>108</v>
      </c>
      <c r="AX677">
        <v>5</v>
      </c>
      <c r="AY677" t="s">
        <v>134</v>
      </c>
      <c r="AZ677" t="s">
        <v>212</v>
      </c>
      <c r="BA677" t="s">
        <v>138</v>
      </c>
      <c r="BB677">
        <v>5</v>
      </c>
      <c r="BC677">
        <v>10</v>
      </c>
      <c r="BE677" t="s">
        <v>139</v>
      </c>
      <c r="BF677">
        <v>6</v>
      </c>
      <c r="BH677">
        <f t="shared" si="32"/>
        <v>168</v>
      </c>
      <c r="BS677" t="s">
        <v>230</v>
      </c>
      <c r="BT677" t="s">
        <v>1434</v>
      </c>
      <c r="BU677" t="s">
        <v>1441</v>
      </c>
      <c r="BV677">
        <v>21</v>
      </c>
      <c r="BW677">
        <v>0.77443530000000005</v>
      </c>
      <c r="BX677">
        <v>10</v>
      </c>
      <c r="BY677">
        <v>22.9</v>
      </c>
      <c r="BZ677">
        <v>0.37108360000000001</v>
      </c>
      <c r="CA677">
        <v>10</v>
      </c>
      <c r="CB677" t="s">
        <v>113</v>
      </c>
      <c r="CC677" t="s">
        <v>1415</v>
      </c>
    </row>
    <row r="678" spans="1:81" x14ac:dyDescent="0.25">
      <c r="A678" t="s">
        <v>81</v>
      </c>
      <c r="B678">
        <v>677</v>
      </c>
      <c r="C678">
        <v>125</v>
      </c>
      <c r="D678">
        <v>32</v>
      </c>
      <c r="E678">
        <v>130</v>
      </c>
      <c r="F678">
        <v>133</v>
      </c>
      <c r="G678">
        <v>390</v>
      </c>
      <c r="H678">
        <v>567</v>
      </c>
      <c r="I678" t="s">
        <v>1409</v>
      </c>
      <c r="J678" t="s">
        <v>691</v>
      </c>
      <c r="M678" t="s">
        <v>85</v>
      </c>
      <c r="O678" t="s">
        <v>14</v>
      </c>
      <c r="P678" t="s">
        <v>1410</v>
      </c>
      <c r="Q678" t="s">
        <v>1411</v>
      </c>
      <c r="R678">
        <v>1994</v>
      </c>
      <c r="S678" t="s">
        <v>494</v>
      </c>
      <c r="U678" t="s">
        <v>1412</v>
      </c>
      <c r="V678" t="s">
        <v>1413</v>
      </c>
      <c r="W678" t="s">
        <v>91</v>
      </c>
      <c r="X678" t="s">
        <v>126</v>
      </c>
      <c r="Y678" t="s">
        <v>190</v>
      </c>
      <c r="Z678" t="s">
        <v>191</v>
      </c>
      <c r="AA678" t="s">
        <v>496</v>
      </c>
      <c r="AB678" t="s">
        <v>497</v>
      </c>
      <c r="AC678" t="s">
        <v>498</v>
      </c>
      <c r="AD678" t="s">
        <v>132</v>
      </c>
      <c r="AE678" t="s">
        <v>133</v>
      </c>
      <c r="AF678" t="s">
        <v>100</v>
      </c>
      <c r="AG678" t="s">
        <v>102</v>
      </c>
      <c r="AH678" t="s">
        <v>102</v>
      </c>
      <c r="AI678" t="s">
        <v>134</v>
      </c>
      <c r="AJ678" t="s">
        <v>135</v>
      </c>
      <c r="AM678" t="s">
        <v>136</v>
      </c>
      <c r="AN678" t="s">
        <v>242</v>
      </c>
      <c r="AR678" t="s">
        <v>179</v>
      </c>
      <c r="AT678">
        <f>((11+18)/2)*10</f>
        <v>145</v>
      </c>
      <c r="AW678" t="s">
        <v>108</v>
      </c>
      <c r="AX678">
        <v>5</v>
      </c>
      <c r="AY678" t="s">
        <v>103</v>
      </c>
      <c r="AZ678" t="s">
        <v>212</v>
      </c>
      <c r="BA678" t="s">
        <v>138</v>
      </c>
      <c r="BB678">
        <v>10</v>
      </c>
      <c r="BC678">
        <v>15</v>
      </c>
      <c r="BE678" t="s">
        <v>139</v>
      </c>
      <c r="BF678">
        <v>6</v>
      </c>
      <c r="BH678">
        <f t="shared" si="32"/>
        <v>168</v>
      </c>
      <c r="BT678" t="s">
        <v>1434</v>
      </c>
      <c r="BU678" t="s">
        <v>1442</v>
      </c>
      <c r="BV678">
        <v>22.9</v>
      </c>
      <c r="BW678">
        <v>0.37108360000000001</v>
      </c>
      <c r="BX678">
        <v>10</v>
      </c>
      <c r="BY678">
        <v>22.4</v>
      </c>
      <c r="BZ678">
        <v>0.59696059999999995</v>
      </c>
      <c r="CA678">
        <v>10</v>
      </c>
      <c r="CB678" t="s">
        <v>113</v>
      </c>
      <c r="CC678" t="s">
        <v>1415</v>
      </c>
    </row>
    <row r="679" spans="1:81" x14ac:dyDescent="0.25">
      <c r="A679" t="s">
        <v>81</v>
      </c>
      <c r="B679">
        <v>678</v>
      </c>
      <c r="C679">
        <v>125</v>
      </c>
      <c r="D679">
        <v>32</v>
      </c>
      <c r="E679">
        <v>130</v>
      </c>
      <c r="F679">
        <v>133</v>
      </c>
      <c r="G679">
        <v>390</v>
      </c>
      <c r="H679">
        <v>568</v>
      </c>
      <c r="I679" t="s">
        <v>1409</v>
      </c>
      <c r="J679" t="s">
        <v>691</v>
      </c>
      <c r="M679" t="s">
        <v>85</v>
      </c>
      <c r="O679" t="s">
        <v>14</v>
      </c>
      <c r="P679" t="s">
        <v>1410</v>
      </c>
      <c r="Q679" t="s">
        <v>1411</v>
      </c>
      <c r="R679">
        <v>1994</v>
      </c>
      <c r="S679" t="s">
        <v>494</v>
      </c>
      <c r="U679" t="s">
        <v>1412</v>
      </c>
      <c r="V679" t="s">
        <v>1413</v>
      </c>
      <c r="W679" t="s">
        <v>91</v>
      </c>
      <c r="X679" t="s">
        <v>126</v>
      </c>
      <c r="Y679" t="s">
        <v>190</v>
      </c>
      <c r="Z679" t="s">
        <v>191</v>
      </c>
      <c r="AA679" t="s">
        <v>496</v>
      </c>
      <c r="AB679" t="s">
        <v>497</v>
      </c>
      <c r="AC679" t="s">
        <v>498</v>
      </c>
      <c r="AD679" t="s">
        <v>132</v>
      </c>
      <c r="AE679" t="s">
        <v>133</v>
      </c>
      <c r="AF679" t="s">
        <v>100</v>
      </c>
      <c r="AG679" t="s">
        <v>102</v>
      </c>
      <c r="AH679" t="s">
        <v>102</v>
      </c>
      <c r="AI679" t="s">
        <v>134</v>
      </c>
      <c r="AJ679" t="s">
        <v>135</v>
      </c>
      <c r="AM679" t="s">
        <v>136</v>
      </c>
      <c r="AN679" t="s">
        <v>242</v>
      </c>
      <c r="AR679" t="s">
        <v>1422</v>
      </c>
      <c r="AT679">
        <f>((11+18)/2)*10</f>
        <v>145</v>
      </c>
      <c r="AW679" t="s">
        <v>108</v>
      </c>
      <c r="AX679">
        <v>5</v>
      </c>
      <c r="AY679" t="s">
        <v>103</v>
      </c>
      <c r="AZ679" t="s">
        <v>212</v>
      </c>
      <c r="BA679" t="s">
        <v>138</v>
      </c>
      <c r="BB679">
        <v>15</v>
      </c>
      <c r="BC679">
        <v>20</v>
      </c>
      <c r="BE679" t="s">
        <v>139</v>
      </c>
      <c r="BF679">
        <v>6</v>
      </c>
      <c r="BH679">
        <f t="shared" si="32"/>
        <v>168</v>
      </c>
      <c r="BT679" t="s">
        <v>1434</v>
      </c>
      <c r="BU679" t="s">
        <v>1442</v>
      </c>
      <c r="BV679">
        <v>22.4</v>
      </c>
      <c r="BW679">
        <v>0.59696059999999995</v>
      </c>
      <c r="BX679">
        <v>10</v>
      </c>
      <c r="BY679">
        <v>22.1</v>
      </c>
      <c r="BZ679">
        <v>0.85510569999999997</v>
      </c>
      <c r="CA679">
        <v>10</v>
      </c>
      <c r="CB679" t="s">
        <v>113</v>
      </c>
      <c r="CC679" t="s">
        <v>1415</v>
      </c>
    </row>
    <row r="680" spans="1:81" x14ac:dyDescent="0.25">
      <c r="A680" t="s">
        <v>81</v>
      </c>
      <c r="B680">
        <v>679</v>
      </c>
      <c r="C680">
        <v>125</v>
      </c>
      <c r="D680">
        <v>32</v>
      </c>
      <c r="E680">
        <v>131</v>
      </c>
      <c r="F680">
        <v>135</v>
      </c>
      <c r="G680">
        <v>391</v>
      </c>
      <c r="H680">
        <v>569</v>
      </c>
      <c r="I680" t="s">
        <v>1409</v>
      </c>
      <c r="J680" t="s">
        <v>691</v>
      </c>
      <c r="M680" t="s">
        <v>85</v>
      </c>
      <c r="O680" t="s">
        <v>14</v>
      </c>
      <c r="P680" t="s">
        <v>1410</v>
      </c>
      <c r="Q680" t="s">
        <v>1411</v>
      </c>
      <c r="R680">
        <v>1994</v>
      </c>
      <c r="S680" t="s">
        <v>494</v>
      </c>
      <c r="U680" t="s">
        <v>1412</v>
      </c>
      <c r="V680" t="s">
        <v>1413</v>
      </c>
      <c r="W680" t="s">
        <v>91</v>
      </c>
      <c r="X680" t="s">
        <v>126</v>
      </c>
      <c r="Y680" t="s">
        <v>190</v>
      </c>
      <c r="Z680" t="s">
        <v>191</v>
      </c>
      <c r="AA680" t="s">
        <v>496</v>
      </c>
      <c r="AB680" t="s">
        <v>497</v>
      </c>
      <c r="AC680" t="s">
        <v>498</v>
      </c>
      <c r="AD680" t="s">
        <v>132</v>
      </c>
      <c r="AE680" t="s">
        <v>133</v>
      </c>
      <c r="AF680" t="s">
        <v>100</v>
      </c>
      <c r="AG680" t="s">
        <v>102</v>
      </c>
      <c r="AH680" t="s">
        <v>102</v>
      </c>
      <c r="AI680" t="s">
        <v>134</v>
      </c>
      <c r="AJ680" t="s">
        <v>135</v>
      </c>
      <c r="AM680" t="s">
        <v>136</v>
      </c>
      <c r="AN680" t="s">
        <v>242</v>
      </c>
      <c r="AR680" t="s">
        <v>179</v>
      </c>
      <c r="AT680">
        <v>14</v>
      </c>
      <c r="AW680" t="s">
        <v>108</v>
      </c>
      <c r="AX680">
        <v>5</v>
      </c>
      <c r="AY680" t="s">
        <v>134</v>
      </c>
      <c r="AZ680" t="s">
        <v>212</v>
      </c>
      <c r="BA680" t="s">
        <v>138</v>
      </c>
      <c r="BB680">
        <v>5</v>
      </c>
      <c r="BC680">
        <v>10</v>
      </c>
      <c r="BE680" t="s">
        <v>139</v>
      </c>
      <c r="BF680">
        <v>3.5</v>
      </c>
      <c r="BH680">
        <f t="shared" si="32"/>
        <v>168</v>
      </c>
      <c r="BS680" t="s">
        <v>230</v>
      </c>
      <c r="BT680" t="s">
        <v>1434</v>
      </c>
      <c r="BU680" t="s">
        <v>1443</v>
      </c>
      <c r="BV680">
        <v>19</v>
      </c>
      <c r="BW680">
        <v>0.37115369999999998</v>
      </c>
      <c r="BX680">
        <v>12</v>
      </c>
      <c r="BY680">
        <v>19.670000000000002</v>
      </c>
      <c r="BZ680">
        <v>1.8204210000000001</v>
      </c>
      <c r="CA680">
        <v>12</v>
      </c>
      <c r="CB680" t="s">
        <v>113</v>
      </c>
      <c r="CC680" t="s">
        <v>1415</v>
      </c>
    </row>
    <row r="681" spans="1:81" x14ac:dyDescent="0.25">
      <c r="A681" t="s">
        <v>81</v>
      </c>
      <c r="B681">
        <v>680</v>
      </c>
      <c r="C681">
        <v>125</v>
      </c>
      <c r="D681">
        <v>32</v>
      </c>
      <c r="E681">
        <v>131</v>
      </c>
      <c r="F681">
        <v>135</v>
      </c>
      <c r="G681">
        <v>391</v>
      </c>
      <c r="H681">
        <v>570</v>
      </c>
      <c r="I681" t="s">
        <v>1409</v>
      </c>
      <c r="J681" t="s">
        <v>691</v>
      </c>
      <c r="M681" t="s">
        <v>85</v>
      </c>
      <c r="O681" t="s">
        <v>14</v>
      </c>
      <c r="P681" t="s">
        <v>1410</v>
      </c>
      <c r="Q681" t="s">
        <v>1411</v>
      </c>
      <c r="R681">
        <v>1994</v>
      </c>
      <c r="S681" t="s">
        <v>494</v>
      </c>
      <c r="U681" t="s">
        <v>1412</v>
      </c>
      <c r="V681" t="s">
        <v>1413</v>
      </c>
      <c r="W681" t="s">
        <v>91</v>
      </c>
      <c r="X681" t="s">
        <v>126</v>
      </c>
      <c r="Y681" t="s">
        <v>190</v>
      </c>
      <c r="Z681" t="s">
        <v>191</v>
      </c>
      <c r="AA681" t="s">
        <v>496</v>
      </c>
      <c r="AB681" t="s">
        <v>497</v>
      </c>
      <c r="AC681" t="s">
        <v>498</v>
      </c>
      <c r="AD681" t="s">
        <v>132</v>
      </c>
      <c r="AE681" t="s">
        <v>133</v>
      </c>
      <c r="AF681" t="s">
        <v>100</v>
      </c>
      <c r="AG681" t="s">
        <v>102</v>
      </c>
      <c r="AH681" t="s">
        <v>102</v>
      </c>
      <c r="AI681" t="s">
        <v>134</v>
      </c>
      <c r="AJ681" t="s">
        <v>135</v>
      </c>
      <c r="AM681" t="s">
        <v>136</v>
      </c>
      <c r="AN681" t="s">
        <v>242</v>
      </c>
      <c r="AR681" t="s">
        <v>179</v>
      </c>
      <c r="AT681">
        <v>14</v>
      </c>
      <c r="AW681" t="s">
        <v>108</v>
      </c>
      <c r="AX681">
        <v>5</v>
      </c>
      <c r="AY681" t="s">
        <v>103</v>
      </c>
      <c r="AZ681" t="s">
        <v>212</v>
      </c>
      <c r="BA681" t="s">
        <v>138</v>
      </c>
      <c r="BB681">
        <v>10</v>
      </c>
      <c r="BC681">
        <v>15</v>
      </c>
      <c r="BE681" t="s">
        <v>139</v>
      </c>
      <c r="BF681">
        <v>3.5</v>
      </c>
      <c r="BH681">
        <f t="shared" si="32"/>
        <v>168</v>
      </c>
      <c r="BT681" t="s">
        <v>1434</v>
      </c>
      <c r="BU681" t="s">
        <v>1444</v>
      </c>
      <c r="BV681">
        <v>19.670000000000002</v>
      </c>
      <c r="BW681">
        <v>1.8204210000000001</v>
      </c>
      <c r="BX681">
        <v>12</v>
      </c>
      <c r="BY681">
        <v>20.83</v>
      </c>
      <c r="BZ681">
        <v>1.838095</v>
      </c>
      <c r="CA681">
        <v>12</v>
      </c>
      <c r="CB681" t="s">
        <v>113</v>
      </c>
      <c r="CC681" t="s">
        <v>1415</v>
      </c>
    </row>
    <row r="682" spans="1:81" x14ac:dyDescent="0.25">
      <c r="A682" t="s">
        <v>81</v>
      </c>
      <c r="B682">
        <v>681</v>
      </c>
      <c r="C682">
        <v>125</v>
      </c>
      <c r="D682">
        <v>32</v>
      </c>
      <c r="E682">
        <v>131</v>
      </c>
      <c r="F682">
        <v>135</v>
      </c>
      <c r="G682">
        <v>391</v>
      </c>
      <c r="H682">
        <v>571</v>
      </c>
      <c r="I682" t="s">
        <v>1409</v>
      </c>
      <c r="J682" t="s">
        <v>691</v>
      </c>
      <c r="M682" t="s">
        <v>85</v>
      </c>
      <c r="O682" t="s">
        <v>14</v>
      </c>
      <c r="P682" t="s">
        <v>1410</v>
      </c>
      <c r="Q682" t="s">
        <v>1411</v>
      </c>
      <c r="R682">
        <v>1994</v>
      </c>
      <c r="S682" t="s">
        <v>494</v>
      </c>
      <c r="U682" t="s">
        <v>1412</v>
      </c>
      <c r="V682" t="s">
        <v>1413</v>
      </c>
      <c r="W682" t="s">
        <v>91</v>
      </c>
      <c r="X682" t="s">
        <v>126</v>
      </c>
      <c r="Y682" t="s">
        <v>190</v>
      </c>
      <c r="Z682" t="s">
        <v>191</v>
      </c>
      <c r="AA682" t="s">
        <v>496</v>
      </c>
      <c r="AB682" t="s">
        <v>497</v>
      </c>
      <c r="AC682" t="s">
        <v>498</v>
      </c>
      <c r="AD682" t="s">
        <v>132</v>
      </c>
      <c r="AE682" t="s">
        <v>133</v>
      </c>
      <c r="AF682" t="s">
        <v>100</v>
      </c>
      <c r="AG682" t="s">
        <v>102</v>
      </c>
      <c r="AH682" t="s">
        <v>102</v>
      </c>
      <c r="AI682" t="s">
        <v>134</v>
      </c>
      <c r="AJ682" t="s">
        <v>135</v>
      </c>
      <c r="AM682" t="s">
        <v>136</v>
      </c>
      <c r="AN682" t="s">
        <v>242</v>
      </c>
      <c r="AR682" t="s">
        <v>179</v>
      </c>
      <c r="AT682">
        <v>14</v>
      </c>
      <c r="AW682" t="s">
        <v>108</v>
      </c>
      <c r="AX682">
        <v>5</v>
      </c>
      <c r="AY682" t="s">
        <v>103</v>
      </c>
      <c r="AZ682" t="s">
        <v>212</v>
      </c>
      <c r="BA682" t="s">
        <v>138</v>
      </c>
      <c r="BB682">
        <v>15</v>
      </c>
      <c r="BC682">
        <v>20</v>
      </c>
      <c r="BE682" t="s">
        <v>139</v>
      </c>
      <c r="BF682">
        <v>3.5</v>
      </c>
      <c r="BH682">
        <f t="shared" si="32"/>
        <v>168</v>
      </c>
      <c r="BT682" t="s">
        <v>1434</v>
      </c>
      <c r="BU682" t="s">
        <v>1444</v>
      </c>
      <c r="BV682">
        <v>20.83</v>
      </c>
      <c r="BW682">
        <v>1.838095</v>
      </c>
      <c r="BX682">
        <v>12</v>
      </c>
      <c r="BY682">
        <v>20.75</v>
      </c>
      <c r="BZ682">
        <v>0.51254560000000005</v>
      </c>
      <c r="CA682">
        <v>12</v>
      </c>
      <c r="CB682" t="s">
        <v>113</v>
      </c>
      <c r="CC682" t="s">
        <v>1415</v>
      </c>
    </row>
    <row r="683" spans="1:81" x14ac:dyDescent="0.25">
      <c r="A683" t="s">
        <v>81</v>
      </c>
      <c r="B683">
        <v>682</v>
      </c>
      <c r="C683">
        <v>125</v>
      </c>
      <c r="D683">
        <v>32</v>
      </c>
      <c r="E683">
        <v>131</v>
      </c>
      <c r="F683">
        <v>135</v>
      </c>
      <c r="G683">
        <v>392</v>
      </c>
      <c r="H683">
        <v>572</v>
      </c>
      <c r="I683" t="s">
        <v>1409</v>
      </c>
      <c r="J683" t="s">
        <v>691</v>
      </c>
      <c r="M683" t="s">
        <v>85</v>
      </c>
      <c r="O683" t="s">
        <v>14</v>
      </c>
      <c r="P683" t="s">
        <v>1410</v>
      </c>
      <c r="Q683" t="s">
        <v>1411</v>
      </c>
      <c r="R683">
        <v>1994</v>
      </c>
      <c r="S683" t="s">
        <v>494</v>
      </c>
      <c r="U683" t="s">
        <v>1412</v>
      </c>
      <c r="V683" t="s">
        <v>1413</v>
      </c>
      <c r="W683" t="s">
        <v>91</v>
      </c>
      <c r="X683" t="s">
        <v>126</v>
      </c>
      <c r="Y683" t="s">
        <v>190</v>
      </c>
      <c r="Z683" t="s">
        <v>191</v>
      </c>
      <c r="AA683" t="s">
        <v>496</v>
      </c>
      <c r="AB683" t="s">
        <v>497</v>
      </c>
      <c r="AC683" t="s">
        <v>498</v>
      </c>
      <c r="AD683" t="s">
        <v>132</v>
      </c>
      <c r="AE683" t="s">
        <v>133</v>
      </c>
      <c r="AF683" t="s">
        <v>100</v>
      </c>
      <c r="AG683" t="s">
        <v>102</v>
      </c>
      <c r="AH683" t="s">
        <v>102</v>
      </c>
      <c r="AI683" t="s">
        <v>134</v>
      </c>
      <c r="AJ683" t="s">
        <v>135</v>
      </c>
      <c r="AM683" t="s">
        <v>136</v>
      </c>
      <c r="AN683" t="s">
        <v>242</v>
      </c>
      <c r="AR683" t="s">
        <v>179</v>
      </c>
      <c r="AT683">
        <v>18</v>
      </c>
      <c r="AW683" t="s">
        <v>108</v>
      </c>
      <c r="AX683">
        <v>5</v>
      </c>
      <c r="AY683" t="s">
        <v>134</v>
      </c>
      <c r="AZ683" t="s">
        <v>212</v>
      </c>
      <c r="BA683" t="s">
        <v>138</v>
      </c>
      <c r="BB683">
        <v>5</v>
      </c>
      <c r="BC683">
        <v>10</v>
      </c>
      <c r="BE683" t="s">
        <v>139</v>
      </c>
      <c r="BF683">
        <v>3.5</v>
      </c>
      <c r="BH683">
        <f t="shared" si="32"/>
        <v>168</v>
      </c>
      <c r="BS683" t="s">
        <v>230</v>
      </c>
      <c r="BT683" t="s">
        <v>1434</v>
      </c>
      <c r="BU683" t="s">
        <v>1445</v>
      </c>
      <c r="BV683">
        <v>21.3</v>
      </c>
      <c r="BW683">
        <v>1.749725</v>
      </c>
      <c r="BX683">
        <v>12</v>
      </c>
      <c r="BY683">
        <v>21.67</v>
      </c>
      <c r="BZ683">
        <v>0.88369940000000002</v>
      </c>
      <c r="CA683">
        <v>12</v>
      </c>
      <c r="CB683" t="s">
        <v>113</v>
      </c>
      <c r="CC683" t="s">
        <v>1415</v>
      </c>
    </row>
    <row r="684" spans="1:81" x14ac:dyDescent="0.25">
      <c r="A684" t="s">
        <v>81</v>
      </c>
      <c r="B684">
        <v>683</v>
      </c>
      <c r="C684">
        <v>125</v>
      </c>
      <c r="D684">
        <v>32</v>
      </c>
      <c r="E684">
        <v>131</v>
      </c>
      <c r="F684">
        <v>135</v>
      </c>
      <c r="G684">
        <v>392</v>
      </c>
      <c r="H684">
        <v>573</v>
      </c>
      <c r="I684" t="s">
        <v>1409</v>
      </c>
      <c r="J684" t="s">
        <v>691</v>
      </c>
      <c r="M684" t="s">
        <v>85</v>
      </c>
      <c r="O684" t="s">
        <v>14</v>
      </c>
      <c r="P684" t="s">
        <v>1410</v>
      </c>
      <c r="Q684" t="s">
        <v>1411</v>
      </c>
      <c r="R684">
        <v>1994</v>
      </c>
      <c r="S684" t="s">
        <v>494</v>
      </c>
      <c r="U684" t="s">
        <v>1412</v>
      </c>
      <c r="V684" t="s">
        <v>1413</v>
      </c>
      <c r="W684" t="s">
        <v>91</v>
      </c>
      <c r="X684" t="s">
        <v>126</v>
      </c>
      <c r="Y684" t="s">
        <v>190</v>
      </c>
      <c r="Z684" t="s">
        <v>191</v>
      </c>
      <c r="AA684" t="s">
        <v>496</v>
      </c>
      <c r="AB684" t="s">
        <v>497</v>
      </c>
      <c r="AC684" t="s">
        <v>498</v>
      </c>
      <c r="AD684" t="s">
        <v>132</v>
      </c>
      <c r="AE684" t="s">
        <v>133</v>
      </c>
      <c r="AF684" t="s">
        <v>100</v>
      </c>
      <c r="AG684" t="s">
        <v>102</v>
      </c>
      <c r="AH684" t="s">
        <v>102</v>
      </c>
      <c r="AI684" t="s">
        <v>134</v>
      </c>
      <c r="AJ684" t="s">
        <v>135</v>
      </c>
      <c r="AM684" t="s">
        <v>136</v>
      </c>
      <c r="AN684" t="s">
        <v>242</v>
      </c>
      <c r="AR684" t="s">
        <v>179</v>
      </c>
      <c r="AT684">
        <v>18</v>
      </c>
      <c r="AW684" t="s">
        <v>108</v>
      </c>
      <c r="AX684">
        <v>5</v>
      </c>
      <c r="AY684" t="s">
        <v>103</v>
      </c>
      <c r="AZ684" t="s">
        <v>212</v>
      </c>
      <c r="BA684" t="s">
        <v>138</v>
      </c>
      <c r="BB684">
        <v>10</v>
      </c>
      <c r="BC684">
        <v>15</v>
      </c>
      <c r="BE684" t="s">
        <v>139</v>
      </c>
      <c r="BF684">
        <v>3.5</v>
      </c>
      <c r="BH684">
        <f t="shared" si="32"/>
        <v>168</v>
      </c>
      <c r="BT684" t="s">
        <v>1434</v>
      </c>
      <c r="BU684" t="s">
        <v>1446</v>
      </c>
      <c r="BV684">
        <v>21.67</v>
      </c>
      <c r="BW684">
        <v>0.88369940000000002</v>
      </c>
      <c r="BX684">
        <v>12</v>
      </c>
      <c r="BY684">
        <v>20.170000000000002</v>
      </c>
      <c r="BZ684">
        <v>1.148809</v>
      </c>
      <c r="CA684">
        <v>12</v>
      </c>
      <c r="CB684" t="s">
        <v>113</v>
      </c>
      <c r="CC684" t="s">
        <v>1415</v>
      </c>
    </row>
    <row r="685" spans="1:81" x14ac:dyDescent="0.25">
      <c r="A685" t="s">
        <v>81</v>
      </c>
      <c r="B685">
        <v>684</v>
      </c>
      <c r="C685">
        <v>125</v>
      </c>
      <c r="D685">
        <v>32</v>
      </c>
      <c r="E685">
        <v>131</v>
      </c>
      <c r="F685">
        <v>135</v>
      </c>
      <c r="G685">
        <v>392</v>
      </c>
      <c r="H685">
        <v>574</v>
      </c>
      <c r="I685" t="s">
        <v>1409</v>
      </c>
      <c r="J685" t="s">
        <v>691</v>
      </c>
      <c r="M685" t="s">
        <v>85</v>
      </c>
      <c r="O685" t="s">
        <v>14</v>
      </c>
      <c r="P685" t="s">
        <v>1410</v>
      </c>
      <c r="Q685" t="s">
        <v>1411</v>
      </c>
      <c r="R685">
        <v>1994</v>
      </c>
      <c r="S685" t="s">
        <v>494</v>
      </c>
      <c r="U685" t="s">
        <v>1412</v>
      </c>
      <c r="V685" t="s">
        <v>1413</v>
      </c>
      <c r="W685" t="s">
        <v>91</v>
      </c>
      <c r="X685" t="s">
        <v>126</v>
      </c>
      <c r="Y685" t="s">
        <v>190</v>
      </c>
      <c r="Z685" t="s">
        <v>191</v>
      </c>
      <c r="AA685" t="s">
        <v>496</v>
      </c>
      <c r="AB685" t="s">
        <v>497</v>
      </c>
      <c r="AC685" t="s">
        <v>498</v>
      </c>
      <c r="AD685" t="s">
        <v>132</v>
      </c>
      <c r="AE685" t="s">
        <v>133</v>
      </c>
      <c r="AF685" t="s">
        <v>100</v>
      </c>
      <c r="AG685" t="s">
        <v>102</v>
      </c>
      <c r="AH685" t="s">
        <v>102</v>
      </c>
      <c r="AI685" t="s">
        <v>134</v>
      </c>
      <c r="AJ685" t="s">
        <v>135</v>
      </c>
      <c r="AM685" t="s">
        <v>136</v>
      </c>
      <c r="AN685" t="s">
        <v>242</v>
      </c>
      <c r="AR685" t="s">
        <v>179</v>
      </c>
      <c r="AT685">
        <v>18</v>
      </c>
      <c r="AW685" t="s">
        <v>108</v>
      </c>
      <c r="AX685">
        <v>5</v>
      </c>
      <c r="AY685" t="s">
        <v>103</v>
      </c>
      <c r="AZ685" t="s">
        <v>212</v>
      </c>
      <c r="BA685" t="s">
        <v>138</v>
      </c>
      <c r="BB685">
        <v>15</v>
      </c>
      <c r="BC685">
        <v>20</v>
      </c>
      <c r="BE685" t="s">
        <v>139</v>
      </c>
      <c r="BF685">
        <v>3.5</v>
      </c>
      <c r="BH685">
        <f t="shared" si="32"/>
        <v>168</v>
      </c>
      <c r="BT685" t="s">
        <v>1434</v>
      </c>
      <c r="BU685" t="s">
        <v>1446</v>
      </c>
      <c r="BV685">
        <v>20.170000000000002</v>
      </c>
      <c r="BW685">
        <v>1.148809</v>
      </c>
      <c r="BX685">
        <v>12</v>
      </c>
      <c r="BY685">
        <v>20.83</v>
      </c>
      <c r="BZ685">
        <v>0.93672140000000004</v>
      </c>
      <c r="CA685">
        <v>12</v>
      </c>
      <c r="CB685" t="s">
        <v>113</v>
      </c>
      <c r="CC685" t="s">
        <v>1415</v>
      </c>
    </row>
    <row r="686" spans="1:81" x14ac:dyDescent="0.25">
      <c r="A686" t="s">
        <v>81</v>
      </c>
      <c r="B686">
        <v>685</v>
      </c>
      <c r="C686">
        <v>125</v>
      </c>
      <c r="D686">
        <v>32</v>
      </c>
      <c r="E686">
        <v>131</v>
      </c>
      <c r="F686">
        <v>135</v>
      </c>
      <c r="G686">
        <v>393</v>
      </c>
      <c r="H686">
        <v>575</v>
      </c>
      <c r="I686" t="s">
        <v>1409</v>
      </c>
      <c r="J686" t="s">
        <v>691</v>
      </c>
      <c r="M686" t="s">
        <v>85</v>
      </c>
      <c r="O686" t="s">
        <v>14</v>
      </c>
      <c r="P686" t="s">
        <v>1410</v>
      </c>
      <c r="Q686" t="s">
        <v>1411</v>
      </c>
      <c r="R686">
        <v>1994</v>
      </c>
      <c r="S686" t="s">
        <v>494</v>
      </c>
      <c r="U686" t="s">
        <v>1412</v>
      </c>
      <c r="V686" t="s">
        <v>1413</v>
      </c>
      <c r="W686" t="s">
        <v>91</v>
      </c>
      <c r="X686" t="s">
        <v>126</v>
      </c>
      <c r="Y686" t="s">
        <v>190</v>
      </c>
      <c r="Z686" t="s">
        <v>191</v>
      </c>
      <c r="AA686" t="s">
        <v>496</v>
      </c>
      <c r="AB686" t="s">
        <v>497</v>
      </c>
      <c r="AC686" t="s">
        <v>498</v>
      </c>
      <c r="AD686" t="s">
        <v>132</v>
      </c>
      <c r="AE686" t="s">
        <v>133</v>
      </c>
      <c r="AF686" t="s">
        <v>100</v>
      </c>
      <c r="AG686" t="s">
        <v>102</v>
      </c>
      <c r="AH686" t="s">
        <v>102</v>
      </c>
      <c r="AI686" t="s">
        <v>134</v>
      </c>
      <c r="AJ686" t="s">
        <v>135</v>
      </c>
      <c r="AM686" t="s">
        <v>136</v>
      </c>
      <c r="AN686" t="s">
        <v>242</v>
      </c>
      <c r="AR686" t="s">
        <v>179</v>
      </c>
      <c r="AT686">
        <f>((11+18)/2)*10</f>
        <v>145</v>
      </c>
      <c r="AW686" t="s">
        <v>108</v>
      </c>
      <c r="AX686">
        <v>5</v>
      </c>
      <c r="AY686" t="s">
        <v>134</v>
      </c>
      <c r="AZ686" t="s">
        <v>212</v>
      </c>
      <c r="BA686" t="s">
        <v>138</v>
      </c>
      <c r="BB686">
        <v>5</v>
      </c>
      <c r="BC686">
        <v>10</v>
      </c>
      <c r="BE686" t="s">
        <v>139</v>
      </c>
      <c r="BF686">
        <v>6</v>
      </c>
      <c r="BH686">
        <f t="shared" si="32"/>
        <v>168</v>
      </c>
      <c r="BS686" t="s">
        <v>230</v>
      </c>
      <c r="BT686" t="s">
        <v>1434</v>
      </c>
      <c r="BU686" t="s">
        <v>1447</v>
      </c>
      <c r="BV686">
        <v>22</v>
      </c>
      <c r="BW686">
        <v>0.77443530000000005</v>
      </c>
      <c r="BX686">
        <v>10</v>
      </c>
      <c r="BY686">
        <v>22.5</v>
      </c>
      <c r="BZ686">
        <v>0.61309460000000005</v>
      </c>
      <c r="CA686">
        <v>10</v>
      </c>
      <c r="CB686" t="s">
        <v>113</v>
      </c>
      <c r="CC686" t="s">
        <v>1415</v>
      </c>
    </row>
    <row r="687" spans="1:81" x14ac:dyDescent="0.25">
      <c r="A687" t="s">
        <v>81</v>
      </c>
      <c r="B687">
        <v>686</v>
      </c>
      <c r="C687">
        <v>125</v>
      </c>
      <c r="D687">
        <v>32</v>
      </c>
      <c r="E687">
        <v>131</v>
      </c>
      <c r="F687">
        <v>135</v>
      </c>
      <c r="G687">
        <v>393</v>
      </c>
      <c r="H687">
        <v>576</v>
      </c>
      <c r="I687" t="s">
        <v>1409</v>
      </c>
      <c r="J687" t="s">
        <v>691</v>
      </c>
      <c r="M687" t="s">
        <v>85</v>
      </c>
      <c r="O687" t="s">
        <v>14</v>
      </c>
      <c r="P687" t="s">
        <v>1410</v>
      </c>
      <c r="Q687" t="s">
        <v>1411</v>
      </c>
      <c r="R687">
        <v>1994</v>
      </c>
      <c r="S687" t="s">
        <v>494</v>
      </c>
      <c r="U687" t="s">
        <v>1412</v>
      </c>
      <c r="V687" t="s">
        <v>1413</v>
      </c>
      <c r="W687" t="s">
        <v>91</v>
      </c>
      <c r="X687" t="s">
        <v>126</v>
      </c>
      <c r="Y687" t="s">
        <v>190</v>
      </c>
      <c r="Z687" t="s">
        <v>191</v>
      </c>
      <c r="AA687" t="s">
        <v>496</v>
      </c>
      <c r="AB687" t="s">
        <v>497</v>
      </c>
      <c r="AC687" t="s">
        <v>498</v>
      </c>
      <c r="AD687" t="s">
        <v>132</v>
      </c>
      <c r="AE687" t="s">
        <v>133</v>
      </c>
      <c r="AF687" t="s">
        <v>100</v>
      </c>
      <c r="AG687" t="s">
        <v>102</v>
      </c>
      <c r="AH687" t="s">
        <v>102</v>
      </c>
      <c r="AI687" t="s">
        <v>134</v>
      </c>
      <c r="AJ687" t="s">
        <v>135</v>
      </c>
      <c r="AM687" t="s">
        <v>136</v>
      </c>
      <c r="AN687" t="s">
        <v>242</v>
      </c>
      <c r="AR687" t="s">
        <v>179</v>
      </c>
      <c r="AT687">
        <f>((11+18)/2)*10</f>
        <v>145</v>
      </c>
      <c r="AW687" t="s">
        <v>108</v>
      </c>
      <c r="AX687">
        <v>5</v>
      </c>
      <c r="AY687" t="s">
        <v>103</v>
      </c>
      <c r="AZ687" t="s">
        <v>212</v>
      </c>
      <c r="BA687" t="s">
        <v>138</v>
      </c>
      <c r="BB687">
        <v>10</v>
      </c>
      <c r="BC687">
        <v>15</v>
      </c>
      <c r="BE687" t="s">
        <v>139</v>
      </c>
      <c r="BF687">
        <v>6</v>
      </c>
      <c r="BH687">
        <f t="shared" si="32"/>
        <v>168</v>
      </c>
      <c r="BT687" t="s">
        <v>1434</v>
      </c>
      <c r="BU687" t="s">
        <v>1448</v>
      </c>
      <c r="BV687">
        <v>22.5</v>
      </c>
      <c r="BW687">
        <v>0.61309460000000005</v>
      </c>
      <c r="BX687">
        <v>10</v>
      </c>
      <c r="BY687">
        <v>22.4</v>
      </c>
      <c r="BZ687">
        <v>0.59696059999999995</v>
      </c>
      <c r="CA687">
        <v>10</v>
      </c>
      <c r="CB687" t="s">
        <v>113</v>
      </c>
      <c r="CC687" t="s">
        <v>1415</v>
      </c>
    </row>
    <row r="688" spans="1:81" x14ac:dyDescent="0.25">
      <c r="A688" t="s">
        <v>81</v>
      </c>
      <c r="B688">
        <v>687</v>
      </c>
      <c r="C688">
        <v>125</v>
      </c>
      <c r="D688">
        <v>32</v>
      </c>
      <c r="E688">
        <v>131</v>
      </c>
      <c r="F688">
        <v>135</v>
      </c>
      <c r="G688">
        <v>393</v>
      </c>
      <c r="H688">
        <v>577</v>
      </c>
      <c r="I688" t="s">
        <v>1409</v>
      </c>
      <c r="J688" t="s">
        <v>691</v>
      </c>
      <c r="M688" t="s">
        <v>85</v>
      </c>
      <c r="O688" t="s">
        <v>14</v>
      </c>
      <c r="P688" t="s">
        <v>1410</v>
      </c>
      <c r="Q688" t="s">
        <v>1411</v>
      </c>
      <c r="R688">
        <v>1994</v>
      </c>
      <c r="S688" t="s">
        <v>494</v>
      </c>
      <c r="U688" t="s">
        <v>1412</v>
      </c>
      <c r="V688" t="s">
        <v>1413</v>
      </c>
      <c r="W688" t="s">
        <v>91</v>
      </c>
      <c r="X688" t="s">
        <v>126</v>
      </c>
      <c r="Y688" t="s">
        <v>190</v>
      </c>
      <c r="Z688" t="s">
        <v>191</v>
      </c>
      <c r="AA688" t="s">
        <v>496</v>
      </c>
      <c r="AB688" t="s">
        <v>497</v>
      </c>
      <c r="AC688" t="s">
        <v>498</v>
      </c>
      <c r="AD688" t="s">
        <v>132</v>
      </c>
      <c r="AE688" t="s">
        <v>133</v>
      </c>
      <c r="AF688" t="s">
        <v>100</v>
      </c>
      <c r="AG688" t="s">
        <v>102</v>
      </c>
      <c r="AH688" t="s">
        <v>102</v>
      </c>
      <c r="AI688" t="s">
        <v>134</v>
      </c>
      <c r="AJ688" t="s">
        <v>135</v>
      </c>
      <c r="AM688" t="s">
        <v>136</v>
      </c>
      <c r="AN688" t="s">
        <v>242</v>
      </c>
      <c r="AR688" t="s">
        <v>1422</v>
      </c>
      <c r="AT688">
        <f>((11+18)/2)*10</f>
        <v>145</v>
      </c>
      <c r="AW688" t="s">
        <v>108</v>
      </c>
      <c r="AX688">
        <v>5</v>
      </c>
      <c r="AY688" t="s">
        <v>103</v>
      </c>
      <c r="AZ688" t="s">
        <v>212</v>
      </c>
      <c r="BA688" t="s">
        <v>138</v>
      </c>
      <c r="BB688">
        <v>15</v>
      </c>
      <c r="BC688">
        <v>20</v>
      </c>
      <c r="BE688" t="s">
        <v>139</v>
      </c>
      <c r="BF688">
        <v>6</v>
      </c>
      <c r="BH688">
        <f t="shared" si="32"/>
        <v>168</v>
      </c>
      <c r="BT688" t="s">
        <v>1434</v>
      </c>
      <c r="BU688" t="s">
        <v>1448</v>
      </c>
      <c r="BV688">
        <v>22.4</v>
      </c>
      <c r="BW688">
        <v>0.59696059999999995</v>
      </c>
      <c r="BX688">
        <v>10</v>
      </c>
      <c r="BY688">
        <v>21.4</v>
      </c>
      <c r="BZ688">
        <v>0.80670350000000002</v>
      </c>
      <c r="CA688">
        <v>10</v>
      </c>
      <c r="CB688" t="s">
        <v>113</v>
      </c>
      <c r="CC688" t="s">
        <v>1415</v>
      </c>
    </row>
    <row r="689" spans="1:81" x14ac:dyDescent="0.25">
      <c r="A689" t="s">
        <v>81</v>
      </c>
      <c r="B689">
        <v>688</v>
      </c>
      <c r="C689">
        <v>125</v>
      </c>
      <c r="D689">
        <v>32</v>
      </c>
      <c r="E689">
        <v>131</v>
      </c>
      <c r="F689">
        <v>136</v>
      </c>
      <c r="G689">
        <v>394</v>
      </c>
      <c r="H689">
        <v>578</v>
      </c>
      <c r="I689" t="s">
        <v>1409</v>
      </c>
      <c r="J689" t="s">
        <v>691</v>
      </c>
      <c r="M689" t="s">
        <v>85</v>
      </c>
      <c r="O689" t="s">
        <v>14</v>
      </c>
      <c r="P689" t="s">
        <v>1410</v>
      </c>
      <c r="Q689" t="s">
        <v>1411</v>
      </c>
      <c r="R689">
        <v>1994</v>
      </c>
      <c r="S689" t="s">
        <v>494</v>
      </c>
      <c r="U689" t="s">
        <v>1412</v>
      </c>
      <c r="V689" t="s">
        <v>1413</v>
      </c>
      <c r="W689" t="s">
        <v>91</v>
      </c>
      <c r="X689" t="s">
        <v>126</v>
      </c>
      <c r="Y689" t="s">
        <v>190</v>
      </c>
      <c r="Z689" t="s">
        <v>191</v>
      </c>
      <c r="AA689" t="s">
        <v>496</v>
      </c>
      <c r="AB689" t="s">
        <v>497</v>
      </c>
      <c r="AC689" t="s">
        <v>498</v>
      </c>
      <c r="AD689" t="s">
        <v>132</v>
      </c>
      <c r="AE689" t="s">
        <v>133</v>
      </c>
      <c r="AF689" t="s">
        <v>100</v>
      </c>
      <c r="AG689" t="s">
        <v>102</v>
      </c>
      <c r="AH689" t="s">
        <v>102</v>
      </c>
      <c r="AI689" t="s">
        <v>134</v>
      </c>
      <c r="AJ689" t="s">
        <v>135</v>
      </c>
      <c r="AM689" t="s">
        <v>136</v>
      </c>
      <c r="AN689" t="s">
        <v>242</v>
      </c>
      <c r="AR689" t="s">
        <v>107</v>
      </c>
      <c r="AT689">
        <f>((11+18)/2)*10</f>
        <v>145</v>
      </c>
      <c r="AW689" t="s">
        <v>108</v>
      </c>
      <c r="AX689">
        <v>5</v>
      </c>
      <c r="AY689" t="s">
        <v>134</v>
      </c>
      <c r="AZ689" t="s">
        <v>212</v>
      </c>
      <c r="BA689" t="s">
        <v>138</v>
      </c>
      <c r="BB689">
        <v>5</v>
      </c>
      <c r="BC689">
        <v>20</v>
      </c>
      <c r="BE689" t="s">
        <v>139</v>
      </c>
      <c r="BF689">
        <v>6</v>
      </c>
      <c r="BH689">
        <f t="shared" si="32"/>
        <v>168</v>
      </c>
      <c r="BS689" t="s">
        <v>230</v>
      </c>
      <c r="BT689" t="s">
        <v>1437</v>
      </c>
      <c r="BU689" t="s">
        <v>1449</v>
      </c>
      <c r="BV689">
        <v>21.5</v>
      </c>
      <c r="BW689">
        <v>0.93877549999999998</v>
      </c>
      <c r="BX689">
        <v>4</v>
      </c>
      <c r="BY689">
        <v>21</v>
      </c>
      <c r="BZ689" t="s">
        <v>454</v>
      </c>
      <c r="CA689">
        <v>6</v>
      </c>
      <c r="CB689" t="s">
        <v>113</v>
      </c>
      <c r="CC689" t="s">
        <v>1450</v>
      </c>
    </row>
    <row r="690" spans="1:81" x14ac:dyDescent="0.25">
      <c r="A690" t="s">
        <v>81</v>
      </c>
      <c r="B690">
        <v>689</v>
      </c>
      <c r="C690">
        <v>126</v>
      </c>
      <c r="D690">
        <v>114</v>
      </c>
      <c r="E690">
        <v>132</v>
      </c>
      <c r="F690">
        <v>137</v>
      </c>
      <c r="G690">
        <v>395</v>
      </c>
      <c r="H690">
        <v>579</v>
      </c>
      <c r="J690" t="s">
        <v>691</v>
      </c>
      <c r="M690" t="s">
        <v>85</v>
      </c>
      <c r="O690" t="s">
        <v>14</v>
      </c>
      <c r="P690" t="s">
        <v>1451</v>
      </c>
      <c r="Q690" t="s">
        <v>1452</v>
      </c>
      <c r="R690">
        <v>1991</v>
      </c>
      <c r="S690" t="s">
        <v>1453</v>
      </c>
      <c r="V690" t="s">
        <v>1454</v>
      </c>
      <c r="W690" t="s">
        <v>170</v>
      </c>
      <c r="X690" t="s">
        <v>171</v>
      </c>
      <c r="Y690" t="s">
        <v>1006</v>
      </c>
      <c r="Z690" t="s">
        <v>1455</v>
      </c>
      <c r="AA690" t="s">
        <v>1456</v>
      </c>
      <c r="AB690" t="s">
        <v>1457</v>
      </c>
      <c r="AC690" t="s">
        <v>1458</v>
      </c>
      <c r="AD690" t="s">
        <v>132</v>
      </c>
      <c r="AE690" t="s">
        <v>177</v>
      </c>
      <c r="AF690" t="s">
        <v>100</v>
      </c>
      <c r="AG690" t="s">
        <v>102</v>
      </c>
      <c r="AH690" t="s">
        <v>102</v>
      </c>
      <c r="AI690" t="s">
        <v>134</v>
      </c>
      <c r="AJ690" t="s">
        <v>135</v>
      </c>
      <c r="AM690" t="s">
        <v>136</v>
      </c>
      <c r="AN690" t="s">
        <v>106</v>
      </c>
      <c r="AW690" t="s">
        <v>108</v>
      </c>
      <c r="AZ690" t="s">
        <v>212</v>
      </c>
      <c r="BA690" t="s">
        <v>142</v>
      </c>
      <c r="BB690">
        <v>25</v>
      </c>
      <c r="BC690">
        <v>30</v>
      </c>
      <c r="BD690">
        <v>0.5</v>
      </c>
      <c r="BE690" t="s">
        <v>139</v>
      </c>
      <c r="BH690">
        <f>30/60</f>
        <v>0.5</v>
      </c>
      <c r="BI690">
        <v>6</v>
      </c>
      <c r="BJ690">
        <v>3</v>
      </c>
      <c r="BK690">
        <v>100</v>
      </c>
      <c r="BU690" t="s">
        <v>1459</v>
      </c>
      <c r="BV690">
        <v>41.460209999999996</v>
      </c>
      <c r="BW690">
        <v>7.0437E-2</v>
      </c>
      <c r="BX690">
        <v>18</v>
      </c>
      <c r="BY690">
        <v>42.028170000000003</v>
      </c>
      <c r="BZ690">
        <v>8.6751499999999995E-2</v>
      </c>
      <c r="CA690">
        <v>18</v>
      </c>
      <c r="CB690" t="s">
        <v>215</v>
      </c>
      <c r="CC690" t="s">
        <v>1460</v>
      </c>
    </row>
    <row r="691" spans="1:81" x14ac:dyDescent="0.25">
      <c r="A691" t="s">
        <v>81</v>
      </c>
      <c r="B691">
        <v>690</v>
      </c>
      <c r="C691">
        <v>127</v>
      </c>
      <c r="D691">
        <v>115</v>
      </c>
      <c r="E691">
        <v>133</v>
      </c>
      <c r="F691">
        <v>138</v>
      </c>
      <c r="G691">
        <v>396</v>
      </c>
      <c r="H691">
        <v>580</v>
      </c>
      <c r="J691" t="s">
        <v>83</v>
      </c>
      <c r="M691" t="s">
        <v>746</v>
      </c>
      <c r="N691" t="s">
        <v>1461</v>
      </c>
      <c r="O691" t="s">
        <v>14</v>
      </c>
      <c r="P691" t="s">
        <v>1462</v>
      </c>
      <c r="Q691" t="s">
        <v>1463</v>
      </c>
      <c r="R691">
        <v>2013</v>
      </c>
      <c r="S691" t="s">
        <v>775</v>
      </c>
      <c r="U691" t="s">
        <v>1464</v>
      </c>
      <c r="V691" t="s">
        <v>1465</v>
      </c>
      <c r="W691" t="s">
        <v>170</v>
      </c>
      <c r="X691" t="s">
        <v>171</v>
      </c>
      <c r="Y691" t="s">
        <v>1006</v>
      </c>
      <c r="Z691" t="s">
        <v>1455</v>
      </c>
      <c r="AA691" t="s">
        <v>1466</v>
      </c>
      <c r="AB691" t="s">
        <v>1467</v>
      </c>
      <c r="AC691" t="s">
        <v>1468</v>
      </c>
      <c r="AD691" t="s">
        <v>98</v>
      </c>
      <c r="AE691" t="s">
        <v>177</v>
      </c>
      <c r="AF691" t="s">
        <v>100</v>
      </c>
      <c r="AG691" t="s">
        <v>102</v>
      </c>
      <c r="AH691" t="s">
        <v>262</v>
      </c>
      <c r="AI691" t="s">
        <v>103</v>
      </c>
      <c r="AJ691" t="s">
        <v>135</v>
      </c>
      <c r="AK691">
        <v>4.5</v>
      </c>
      <c r="AL691">
        <v>18</v>
      </c>
      <c r="AM691" t="s">
        <v>229</v>
      </c>
      <c r="AN691" t="s">
        <v>106</v>
      </c>
      <c r="AQ691">
        <v>1830</v>
      </c>
      <c r="AR691" t="s">
        <v>317</v>
      </c>
      <c r="AS691">
        <v>2012</v>
      </c>
      <c r="AU691">
        <f>((0.816875+0.7107143)/2)/1000</f>
        <v>7.6379465000000004E-4</v>
      </c>
      <c r="AV691">
        <v>4.5</v>
      </c>
      <c r="AW691" t="s">
        <v>264</v>
      </c>
      <c r="AX691">
        <v>18</v>
      </c>
      <c r="AY691" t="s">
        <v>134</v>
      </c>
      <c r="AZ691" t="s">
        <v>109</v>
      </c>
      <c r="BA691" t="s">
        <v>180</v>
      </c>
      <c r="BB691">
        <v>18</v>
      </c>
      <c r="BC691">
        <v>26</v>
      </c>
      <c r="BE691" t="s">
        <v>139</v>
      </c>
      <c r="BF691">
        <v>12</v>
      </c>
      <c r="BG691">
        <v>0.5</v>
      </c>
      <c r="BL691">
        <v>65</v>
      </c>
      <c r="BP691">
        <v>12</v>
      </c>
      <c r="BS691" t="s">
        <v>1469</v>
      </c>
      <c r="BU691" t="s">
        <v>1470</v>
      </c>
      <c r="BV691">
        <v>42.45</v>
      </c>
      <c r="BW691">
        <v>0.71925890000000003</v>
      </c>
      <c r="BX691">
        <v>16</v>
      </c>
      <c r="BY691">
        <v>42.49286</v>
      </c>
      <c r="BZ691">
        <v>0.249505</v>
      </c>
      <c r="CA691">
        <v>14</v>
      </c>
      <c r="CB691" t="s">
        <v>113</v>
      </c>
      <c r="CC691" t="s">
        <v>1045</v>
      </c>
    </row>
    <row r="692" spans="1:81" x14ac:dyDescent="0.25">
      <c r="A692" t="s">
        <v>81</v>
      </c>
      <c r="B692">
        <v>691</v>
      </c>
      <c r="C692">
        <v>127</v>
      </c>
      <c r="D692">
        <v>115</v>
      </c>
      <c r="E692">
        <v>133</v>
      </c>
      <c r="F692">
        <v>139</v>
      </c>
      <c r="G692">
        <v>397</v>
      </c>
      <c r="H692">
        <v>581</v>
      </c>
      <c r="J692" t="s">
        <v>83</v>
      </c>
      <c r="M692" t="s">
        <v>746</v>
      </c>
      <c r="N692" t="s">
        <v>1461</v>
      </c>
      <c r="O692" t="s">
        <v>14</v>
      </c>
      <c r="P692" t="s">
        <v>1462</v>
      </c>
      <c r="Q692" t="s">
        <v>1463</v>
      </c>
      <c r="R692">
        <v>2013</v>
      </c>
      <c r="S692" t="s">
        <v>775</v>
      </c>
      <c r="U692" t="s">
        <v>1464</v>
      </c>
      <c r="V692" t="s">
        <v>1465</v>
      </c>
      <c r="W692" t="s">
        <v>170</v>
      </c>
      <c r="X692" t="s">
        <v>171</v>
      </c>
      <c r="Y692" t="s">
        <v>1006</v>
      </c>
      <c r="Z692" t="s">
        <v>1455</v>
      </c>
      <c r="AA692" t="s">
        <v>1466</v>
      </c>
      <c r="AB692" t="s">
        <v>1467</v>
      </c>
      <c r="AC692" t="s">
        <v>1468</v>
      </c>
      <c r="AD692" t="s">
        <v>98</v>
      </c>
      <c r="AE692" t="s">
        <v>177</v>
      </c>
      <c r="AF692" t="s">
        <v>100</v>
      </c>
      <c r="AG692" t="s">
        <v>102</v>
      </c>
      <c r="AH692" t="s">
        <v>262</v>
      </c>
      <c r="AI692" t="s">
        <v>103</v>
      </c>
      <c r="AJ692" t="s">
        <v>135</v>
      </c>
      <c r="AK692">
        <v>4.5</v>
      </c>
      <c r="AL692">
        <v>26</v>
      </c>
      <c r="AM692" t="s">
        <v>229</v>
      </c>
      <c r="AN692" t="s">
        <v>106</v>
      </c>
      <c r="AQ692">
        <v>1830</v>
      </c>
      <c r="AR692" t="s">
        <v>317</v>
      </c>
      <c r="AS692">
        <v>2012</v>
      </c>
      <c r="AU692">
        <f>((0.965+0.8135714)/2)/1000</f>
        <v>8.8928569999999999E-4</v>
      </c>
      <c r="AV692">
        <v>4.5</v>
      </c>
      <c r="AW692" t="s">
        <v>264</v>
      </c>
      <c r="AX692">
        <v>18</v>
      </c>
      <c r="AY692" t="s">
        <v>134</v>
      </c>
      <c r="AZ692" t="s">
        <v>109</v>
      </c>
      <c r="BA692" t="s">
        <v>180</v>
      </c>
      <c r="BB692">
        <v>18</v>
      </c>
      <c r="BC692">
        <v>26</v>
      </c>
      <c r="BE692" t="s">
        <v>139</v>
      </c>
      <c r="BF692">
        <v>12</v>
      </c>
      <c r="BG692">
        <v>0.5</v>
      </c>
      <c r="BL692">
        <v>65</v>
      </c>
      <c r="BP692">
        <v>12</v>
      </c>
      <c r="BS692" t="s">
        <v>1469</v>
      </c>
      <c r="BU692" t="s">
        <v>1471</v>
      </c>
      <c r="BV692">
        <v>42.831249999999997</v>
      </c>
      <c r="BW692">
        <v>0.49627779999999999</v>
      </c>
      <c r="BX692">
        <v>16</v>
      </c>
      <c r="BY692">
        <v>43.407139999999998</v>
      </c>
      <c r="BZ692">
        <v>0.43228250000000001</v>
      </c>
      <c r="CA692">
        <v>14</v>
      </c>
      <c r="CB692" t="s">
        <v>113</v>
      </c>
      <c r="CC692" t="s">
        <v>1045</v>
      </c>
    </row>
    <row r="693" spans="1:81" x14ac:dyDescent="0.25">
      <c r="A693" t="s">
        <v>81</v>
      </c>
      <c r="B693">
        <v>692</v>
      </c>
      <c r="C693">
        <v>128</v>
      </c>
      <c r="D693">
        <v>116</v>
      </c>
      <c r="E693">
        <v>134</v>
      </c>
      <c r="F693">
        <v>140</v>
      </c>
      <c r="G693">
        <v>398</v>
      </c>
      <c r="H693">
        <v>582</v>
      </c>
      <c r="I693" t="s">
        <v>490</v>
      </c>
      <c r="J693" t="s">
        <v>1472</v>
      </c>
      <c r="L693" t="s">
        <v>1473</v>
      </c>
      <c r="M693" t="s">
        <v>85</v>
      </c>
      <c r="O693" t="s">
        <v>250</v>
      </c>
      <c r="P693" t="s">
        <v>1474</v>
      </c>
      <c r="Q693" t="s">
        <v>1475</v>
      </c>
      <c r="R693">
        <v>2017</v>
      </c>
      <c r="S693" t="s">
        <v>253</v>
      </c>
      <c r="T693">
        <v>4</v>
      </c>
      <c r="V693" t="s">
        <v>1476</v>
      </c>
      <c r="W693" t="s">
        <v>1267</v>
      </c>
      <c r="X693" t="s">
        <v>1477</v>
      </c>
      <c r="Y693" t="s">
        <v>1478</v>
      </c>
      <c r="Z693" t="s">
        <v>1479</v>
      </c>
      <c r="AA693" t="s">
        <v>1480</v>
      </c>
      <c r="AB693" t="s">
        <v>1481</v>
      </c>
      <c r="AC693" t="s">
        <v>1482</v>
      </c>
      <c r="AD693" t="s">
        <v>132</v>
      </c>
      <c r="AE693" t="s">
        <v>316</v>
      </c>
      <c r="AF693" t="s">
        <v>100</v>
      </c>
      <c r="AG693" t="s">
        <v>101</v>
      </c>
      <c r="AH693" t="s">
        <v>101</v>
      </c>
      <c r="AI693" t="s">
        <v>134</v>
      </c>
      <c r="AJ693" t="s">
        <v>104</v>
      </c>
      <c r="AM693" t="s">
        <v>403</v>
      </c>
      <c r="AN693" t="s">
        <v>106</v>
      </c>
      <c r="AO693">
        <v>-36.304722222199999</v>
      </c>
      <c r="AP693">
        <v>174.79750000000001</v>
      </c>
      <c r="AQ693">
        <v>0</v>
      </c>
      <c r="AW693" t="s">
        <v>108</v>
      </c>
      <c r="AZ693" t="s">
        <v>212</v>
      </c>
      <c r="BA693" t="s">
        <v>142</v>
      </c>
      <c r="BB693">
        <v>18</v>
      </c>
      <c r="BC693">
        <v>21</v>
      </c>
      <c r="BD693">
        <v>0.5</v>
      </c>
      <c r="BE693" t="s">
        <v>139</v>
      </c>
      <c r="BH693">
        <v>1</v>
      </c>
      <c r="BI693">
        <v>5</v>
      </c>
      <c r="BJ693">
        <v>3</v>
      </c>
      <c r="BK693">
        <v>100</v>
      </c>
      <c r="BP693">
        <v>12</v>
      </c>
      <c r="BS693" t="s">
        <v>1483</v>
      </c>
      <c r="BU693" t="s">
        <v>1484</v>
      </c>
      <c r="BV693">
        <v>30.75</v>
      </c>
      <c r="BW693">
        <v>8.1632653000000008</v>
      </c>
      <c r="BX693">
        <v>15</v>
      </c>
      <c r="BY693">
        <v>29.33333</v>
      </c>
      <c r="BZ693">
        <v>5.9948980000000001</v>
      </c>
      <c r="CA693">
        <v>15</v>
      </c>
      <c r="CB693" t="s">
        <v>215</v>
      </c>
      <c r="CC693" t="s">
        <v>1485</v>
      </c>
    </row>
    <row r="694" spans="1:81" x14ac:dyDescent="0.25">
      <c r="A694" t="s">
        <v>81</v>
      </c>
      <c r="B694">
        <v>693</v>
      </c>
      <c r="C694">
        <v>128</v>
      </c>
      <c r="D694">
        <v>116</v>
      </c>
      <c r="E694">
        <v>134</v>
      </c>
      <c r="F694">
        <v>140</v>
      </c>
      <c r="G694">
        <v>398</v>
      </c>
      <c r="H694">
        <v>583</v>
      </c>
      <c r="I694" t="s">
        <v>490</v>
      </c>
      <c r="J694" t="s">
        <v>1472</v>
      </c>
      <c r="L694" t="s">
        <v>1473</v>
      </c>
      <c r="M694" t="s">
        <v>85</v>
      </c>
      <c r="O694" t="s">
        <v>250</v>
      </c>
      <c r="P694" t="s">
        <v>1474</v>
      </c>
      <c r="Q694" t="s">
        <v>1475</v>
      </c>
      <c r="R694">
        <v>2017</v>
      </c>
      <c r="S694" t="s">
        <v>253</v>
      </c>
      <c r="T694">
        <v>4</v>
      </c>
      <c r="V694" t="s">
        <v>1476</v>
      </c>
      <c r="W694" t="s">
        <v>1267</v>
      </c>
      <c r="X694" t="s">
        <v>1477</v>
      </c>
      <c r="Y694" t="s">
        <v>1478</v>
      </c>
      <c r="Z694" t="s">
        <v>1479</v>
      </c>
      <c r="AA694" t="s">
        <v>1480</v>
      </c>
      <c r="AB694" t="s">
        <v>1481</v>
      </c>
      <c r="AC694" t="s">
        <v>1482</v>
      </c>
      <c r="AD694" t="s">
        <v>132</v>
      </c>
      <c r="AE694" t="s">
        <v>316</v>
      </c>
      <c r="AF694" t="s">
        <v>100</v>
      </c>
      <c r="AG694" t="s">
        <v>101</v>
      </c>
      <c r="AH694" t="s">
        <v>101</v>
      </c>
      <c r="AI694" t="s">
        <v>134</v>
      </c>
      <c r="AJ694" t="s">
        <v>104</v>
      </c>
      <c r="AM694" t="s">
        <v>403</v>
      </c>
      <c r="AN694" t="s">
        <v>106</v>
      </c>
      <c r="AO694">
        <v>-36.304722222199999</v>
      </c>
      <c r="AP694">
        <v>174.79750000000001</v>
      </c>
      <c r="AQ694">
        <v>0</v>
      </c>
      <c r="AR694" t="s">
        <v>317</v>
      </c>
      <c r="AS694">
        <v>2014</v>
      </c>
      <c r="AW694" t="s">
        <v>108</v>
      </c>
      <c r="AZ694" t="s">
        <v>212</v>
      </c>
      <c r="BA694" t="s">
        <v>142</v>
      </c>
      <c r="BB694">
        <v>21</v>
      </c>
      <c r="BC694">
        <v>24</v>
      </c>
      <c r="BD694">
        <v>0.5</v>
      </c>
      <c r="BE694" t="s">
        <v>139</v>
      </c>
      <c r="BH694">
        <v>1</v>
      </c>
      <c r="BI694">
        <v>5</v>
      </c>
      <c r="BJ694">
        <v>3</v>
      </c>
      <c r="BK694">
        <v>100</v>
      </c>
      <c r="BP694">
        <v>12</v>
      </c>
      <c r="BU694" t="s">
        <v>1486</v>
      </c>
      <c r="BV694">
        <v>29.33333</v>
      </c>
      <c r="BW694">
        <v>5.9948980000000001</v>
      </c>
      <c r="BX694">
        <v>15</v>
      </c>
      <c r="BY694">
        <v>31.41667</v>
      </c>
      <c r="BZ694">
        <v>8.2057822999999992</v>
      </c>
      <c r="CA694">
        <v>15</v>
      </c>
      <c r="CB694" t="s">
        <v>215</v>
      </c>
      <c r="CC694" t="s">
        <v>1485</v>
      </c>
    </row>
    <row r="695" spans="1:81" x14ac:dyDescent="0.25">
      <c r="A695" t="s">
        <v>81</v>
      </c>
      <c r="B695">
        <v>694</v>
      </c>
      <c r="C695">
        <v>128</v>
      </c>
      <c r="D695">
        <v>116</v>
      </c>
      <c r="E695">
        <v>134</v>
      </c>
      <c r="F695">
        <v>140</v>
      </c>
      <c r="G695">
        <v>399</v>
      </c>
      <c r="H695">
        <v>584</v>
      </c>
      <c r="I695" t="s">
        <v>490</v>
      </c>
      <c r="J695" t="s">
        <v>1472</v>
      </c>
      <c r="L695" t="s">
        <v>1473</v>
      </c>
      <c r="M695" t="s">
        <v>85</v>
      </c>
      <c r="O695" t="s">
        <v>250</v>
      </c>
      <c r="P695" t="s">
        <v>1474</v>
      </c>
      <c r="Q695" t="s">
        <v>1475</v>
      </c>
      <c r="R695">
        <v>2017</v>
      </c>
      <c r="S695" t="s">
        <v>253</v>
      </c>
      <c r="T695">
        <v>4</v>
      </c>
      <c r="V695" t="s">
        <v>1476</v>
      </c>
      <c r="W695" t="s">
        <v>1267</v>
      </c>
      <c r="X695" t="s">
        <v>1477</v>
      </c>
      <c r="Y695" t="s">
        <v>1478</v>
      </c>
      <c r="Z695" t="s">
        <v>1479</v>
      </c>
      <c r="AA695" t="s">
        <v>1480</v>
      </c>
      <c r="AB695" t="s">
        <v>1481</v>
      </c>
      <c r="AC695" t="s">
        <v>1482</v>
      </c>
      <c r="AD695" t="s">
        <v>132</v>
      </c>
      <c r="AE695" t="s">
        <v>316</v>
      </c>
      <c r="AF695" t="s">
        <v>100</v>
      </c>
      <c r="AG695" t="s">
        <v>261</v>
      </c>
      <c r="AH695" t="s">
        <v>102</v>
      </c>
      <c r="AI695" t="s">
        <v>134</v>
      </c>
      <c r="AJ695" t="s">
        <v>104</v>
      </c>
      <c r="AM695" t="s">
        <v>178</v>
      </c>
      <c r="AN695" t="s">
        <v>106</v>
      </c>
      <c r="AO695">
        <v>-36.304722222199999</v>
      </c>
      <c r="AP695">
        <v>174.79750000000001</v>
      </c>
      <c r="AQ695">
        <v>0</v>
      </c>
      <c r="AW695" t="s">
        <v>108</v>
      </c>
      <c r="AZ695" t="s">
        <v>212</v>
      </c>
      <c r="BA695" t="s">
        <v>142</v>
      </c>
      <c r="BB695">
        <v>18</v>
      </c>
      <c r="BC695">
        <v>21</v>
      </c>
      <c r="BD695">
        <v>0.5</v>
      </c>
      <c r="BE695" t="s">
        <v>139</v>
      </c>
      <c r="BH695">
        <v>1</v>
      </c>
      <c r="BI695">
        <v>5</v>
      </c>
      <c r="BJ695">
        <v>3</v>
      </c>
      <c r="BK695">
        <v>100</v>
      </c>
      <c r="BP695">
        <v>12</v>
      </c>
      <c r="BS695" t="s">
        <v>1483</v>
      </c>
      <c r="BU695" t="s">
        <v>1487</v>
      </c>
      <c r="BV695">
        <v>28.802579999999999</v>
      </c>
      <c r="BW695">
        <v>0.69195059999999997</v>
      </c>
      <c r="BX695">
        <v>15</v>
      </c>
      <c r="BY695">
        <v>29.103000000000002</v>
      </c>
      <c r="BZ695">
        <v>0.5036349</v>
      </c>
      <c r="CA695">
        <v>15</v>
      </c>
      <c r="CB695" t="s">
        <v>215</v>
      </c>
      <c r="CC695" t="s">
        <v>1485</v>
      </c>
    </row>
    <row r="696" spans="1:81" x14ac:dyDescent="0.25">
      <c r="A696" t="s">
        <v>81</v>
      </c>
      <c r="B696">
        <v>695</v>
      </c>
      <c r="C696">
        <v>128</v>
      </c>
      <c r="D696">
        <v>116</v>
      </c>
      <c r="E696">
        <v>134</v>
      </c>
      <c r="F696">
        <v>140</v>
      </c>
      <c r="G696">
        <v>399</v>
      </c>
      <c r="H696">
        <v>585</v>
      </c>
      <c r="I696" t="s">
        <v>490</v>
      </c>
      <c r="J696" t="s">
        <v>1472</v>
      </c>
      <c r="L696" t="s">
        <v>1473</v>
      </c>
      <c r="M696" t="s">
        <v>85</v>
      </c>
      <c r="O696" t="s">
        <v>250</v>
      </c>
      <c r="P696" t="s">
        <v>1474</v>
      </c>
      <c r="Q696" t="s">
        <v>1475</v>
      </c>
      <c r="R696">
        <v>2017</v>
      </c>
      <c r="S696" t="s">
        <v>253</v>
      </c>
      <c r="T696">
        <v>4</v>
      </c>
      <c r="V696" t="s">
        <v>1476</v>
      </c>
      <c r="W696" t="s">
        <v>1267</v>
      </c>
      <c r="X696" t="s">
        <v>1477</v>
      </c>
      <c r="Y696" t="s">
        <v>1478</v>
      </c>
      <c r="Z696" t="s">
        <v>1479</v>
      </c>
      <c r="AA696" t="s">
        <v>1480</v>
      </c>
      <c r="AB696" t="s">
        <v>1481</v>
      </c>
      <c r="AC696" t="s">
        <v>1482</v>
      </c>
      <c r="AD696" t="s">
        <v>132</v>
      </c>
      <c r="AE696" t="s">
        <v>316</v>
      </c>
      <c r="AF696" t="s">
        <v>100</v>
      </c>
      <c r="AG696" t="s">
        <v>261</v>
      </c>
      <c r="AH696" t="s">
        <v>102</v>
      </c>
      <c r="AI696" t="s">
        <v>134</v>
      </c>
      <c r="AJ696" t="s">
        <v>104</v>
      </c>
      <c r="AM696" t="s">
        <v>178</v>
      </c>
      <c r="AN696" t="s">
        <v>106</v>
      </c>
      <c r="AO696">
        <v>-36.304722222199999</v>
      </c>
      <c r="AP696">
        <v>174.79750000000001</v>
      </c>
      <c r="AQ696">
        <v>0</v>
      </c>
      <c r="AR696" t="s">
        <v>317</v>
      </c>
      <c r="AS696">
        <v>2014</v>
      </c>
      <c r="AW696" t="s">
        <v>108</v>
      </c>
      <c r="AZ696" t="s">
        <v>212</v>
      </c>
      <c r="BA696" t="s">
        <v>142</v>
      </c>
      <c r="BB696">
        <v>21</v>
      </c>
      <c r="BC696">
        <v>24</v>
      </c>
      <c r="BD696">
        <v>0.5</v>
      </c>
      <c r="BE696" t="s">
        <v>139</v>
      </c>
      <c r="BH696">
        <v>1</v>
      </c>
      <c r="BI696">
        <v>5</v>
      </c>
      <c r="BJ696">
        <v>3</v>
      </c>
      <c r="BK696">
        <v>100</v>
      </c>
      <c r="BP696">
        <v>12</v>
      </c>
      <c r="BU696" t="s">
        <v>1488</v>
      </c>
      <c r="BV696">
        <v>29.103000000000002</v>
      </c>
      <c r="BW696">
        <v>0.5036349</v>
      </c>
      <c r="BX696">
        <v>15</v>
      </c>
      <c r="BY696">
        <v>29.703859999999999</v>
      </c>
      <c r="BZ696">
        <v>0.69195059999999997</v>
      </c>
      <c r="CA696">
        <v>15</v>
      </c>
      <c r="CB696" t="s">
        <v>215</v>
      </c>
      <c r="CC696" t="s">
        <v>1485</v>
      </c>
    </row>
    <row r="697" spans="1:81" x14ac:dyDescent="0.25">
      <c r="A697" t="s">
        <v>81</v>
      </c>
      <c r="B697">
        <v>696</v>
      </c>
      <c r="C697">
        <v>128</v>
      </c>
      <c r="D697">
        <v>116</v>
      </c>
      <c r="E697">
        <v>134</v>
      </c>
      <c r="F697">
        <v>140</v>
      </c>
      <c r="G697">
        <v>400</v>
      </c>
      <c r="H697">
        <v>586</v>
      </c>
      <c r="I697" t="s">
        <v>490</v>
      </c>
      <c r="J697" t="s">
        <v>1472</v>
      </c>
      <c r="L697" t="s">
        <v>1473</v>
      </c>
      <c r="M697" t="s">
        <v>85</v>
      </c>
      <c r="O697" t="s">
        <v>250</v>
      </c>
      <c r="P697" t="s">
        <v>1474</v>
      </c>
      <c r="Q697" t="s">
        <v>1475</v>
      </c>
      <c r="R697">
        <v>2017</v>
      </c>
      <c r="S697" t="s">
        <v>253</v>
      </c>
      <c r="T697">
        <v>4</v>
      </c>
      <c r="V697" t="s">
        <v>1476</v>
      </c>
      <c r="W697" t="s">
        <v>1267</v>
      </c>
      <c r="X697" t="s">
        <v>1477</v>
      </c>
      <c r="Y697" t="s">
        <v>1478</v>
      </c>
      <c r="Z697" t="s">
        <v>1479</v>
      </c>
      <c r="AA697" t="s">
        <v>1480</v>
      </c>
      <c r="AB697" t="s">
        <v>1481</v>
      </c>
      <c r="AC697" t="s">
        <v>1482</v>
      </c>
      <c r="AD697" t="s">
        <v>132</v>
      </c>
      <c r="AE697" t="s">
        <v>316</v>
      </c>
      <c r="AF697" t="s">
        <v>100</v>
      </c>
      <c r="AG697" t="s">
        <v>261</v>
      </c>
      <c r="AH697" t="s">
        <v>102</v>
      </c>
      <c r="AI697" t="s">
        <v>134</v>
      </c>
      <c r="AJ697" t="s">
        <v>104</v>
      </c>
      <c r="AM697" t="s">
        <v>178</v>
      </c>
      <c r="AN697" t="s">
        <v>106</v>
      </c>
      <c r="AO697">
        <v>-36.304722222199999</v>
      </c>
      <c r="AP697">
        <v>174.79750000000001</v>
      </c>
      <c r="AQ697">
        <v>0</v>
      </c>
      <c r="AW697" t="s">
        <v>108</v>
      </c>
      <c r="AZ697" t="s">
        <v>212</v>
      </c>
      <c r="BA697" t="s">
        <v>142</v>
      </c>
      <c r="BB697">
        <v>18</v>
      </c>
      <c r="BC697">
        <v>21</v>
      </c>
      <c r="BD697">
        <v>0.5</v>
      </c>
      <c r="BE697" t="s">
        <v>139</v>
      </c>
      <c r="BH697">
        <v>1</v>
      </c>
      <c r="BI697">
        <v>5</v>
      </c>
      <c r="BJ697">
        <v>3</v>
      </c>
      <c r="BK697">
        <v>100</v>
      </c>
      <c r="BP697">
        <v>12</v>
      </c>
      <c r="BS697" t="s">
        <v>1483</v>
      </c>
      <c r="BU697" t="s">
        <v>1489</v>
      </c>
      <c r="BV697">
        <v>28.10707</v>
      </c>
      <c r="BW697">
        <v>15.510984499999999</v>
      </c>
      <c r="BX697">
        <v>15</v>
      </c>
      <c r="BY697">
        <v>31.66348</v>
      </c>
      <c r="BZ697">
        <v>8.4871424999999991</v>
      </c>
      <c r="CA697">
        <v>15</v>
      </c>
      <c r="CB697" t="s">
        <v>215</v>
      </c>
      <c r="CC697" t="s">
        <v>1485</v>
      </c>
    </row>
    <row r="698" spans="1:81" x14ac:dyDescent="0.25">
      <c r="A698" t="s">
        <v>81</v>
      </c>
      <c r="B698">
        <v>697</v>
      </c>
      <c r="C698">
        <v>128</v>
      </c>
      <c r="D698">
        <v>116</v>
      </c>
      <c r="E698">
        <v>134</v>
      </c>
      <c r="F698">
        <v>140</v>
      </c>
      <c r="G698">
        <v>400</v>
      </c>
      <c r="H698">
        <v>587</v>
      </c>
      <c r="I698" t="s">
        <v>490</v>
      </c>
      <c r="J698" t="s">
        <v>1472</v>
      </c>
      <c r="L698" t="s">
        <v>1473</v>
      </c>
      <c r="M698" t="s">
        <v>85</v>
      </c>
      <c r="O698" t="s">
        <v>250</v>
      </c>
      <c r="P698" t="s">
        <v>1474</v>
      </c>
      <c r="Q698" t="s">
        <v>1475</v>
      </c>
      <c r="R698">
        <v>2017</v>
      </c>
      <c r="S698" t="s">
        <v>253</v>
      </c>
      <c r="T698">
        <v>4</v>
      </c>
      <c r="V698" t="s">
        <v>1476</v>
      </c>
      <c r="W698" t="s">
        <v>1267</v>
      </c>
      <c r="X698" t="s">
        <v>1477</v>
      </c>
      <c r="Y698" t="s">
        <v>1478</v>
      </c>
      <c r="Z698" t="s">
        <v>1479</v>
      </c>
      <c r="AA698" t="s">
        <v>1480</v>
      </c>
      <c r="AB698" t="s">
        <v>1481</v>
      </c>
      <c r="AC698" t="s">
        <v>1482</v>
      </c>
      <c r="AD698" t="s">
        <v>132</v>
      </c>
      <c r="AE698" t="s">
        <v>316</v>
      </c>
      <c r="AF698" t="s">
        <v>100</v>
      </c>
      <c r="AG698" t="s">
        <v>261</v>
      </c>
      <c r="AH698" t="s">
        <v>102</v>
      </c>
      <c r="AI698" t="s">
        <v>134</v>
      </c>
      <c r="AJ698" t="s">
        <v>104</v>
      </c>
      <c r="AM698" t="s">
        <v>178</v>
      </c>
      <c r="AN698" t="s">
        <v>106</v>
      </c>
      <c r="AO698">
        <v>-36.304722222199999</v>
      </c>
      <c r="AP698">
        <v>174.79750000000001</v>
      </c>
      <c r="AQ698">
        <v>0</v>
      </c>
      <c r="AR698" t="s">
        <v>317</v>
      </c>
      <c r="AS698">
        <v>2014</v>
      </c>
      <c r="AW698" t="s">
        <v>108</v>
      </c>
      <c r="AZ698" t="s">
        <v>212</v>
      </c>
      <c r="BA698" t="s">
        <v>142</v>
      </c>
      <c r="BB698">
        <v>21</v>
      </c>
      <c r="BC698">
        <v>24</v>
      </c>
      <c r="BD698">
        <v>0.5</v>
      </c>
      <c r="BE698" t="s">
        <v>139</v>
      </c>
      <c r="BH698">
        <v>1</v>
      </c>
      <c r="BI698">
        <v>5</v>
      </c>
      <c r="BJ698">
        <v>3</v>
      </c>
      <c r="BK698">
        <v>100</v>
      </c>
      <c r="BP698">
        <v>12</v>
      </c>
      <c r="BU698" t="s">
        <v>1490</v>
      </c>
      <c r="BV698">
        <v>31.66348</v>
      </c>
      <c r="BW698">
        <v>8.4871424999999991</v>
      </c>
      <c r="BX698">
        <v>15</v>
      </c>
      <c r="BY698">
        <v>29.139579999999999</v>
      </c>
      <c r="BZ698">
        <v>15.510984499999999</v>
      </c>
      <c r="CA698">
        <v>15</v>
      </c>
      <c r="CB698" t="s">
        <v>215</v>
      </c>
      <c r="CC698" t="s">
        <v>1485</v>
      </c>
    </row>
    <row r="699" spans="1:81" x14ac:dyDescent="0.25">
      <c r="A699" t="s">
        <v>81</v>
      </c>
      <c r="B699">
        <v>698</v>
      </c>
      <c r="C699">
        <v>129</v>
      </c>
      <c r="D699">
        <v>117</v>
      </c>
      <c r="E699">
        <v>135</v>
      </c>
      <c r="F699">
        <v>141</v>
      </c>
      <c r="G699">
        <v>401</v>
      </c>
      <c r="H699">
        <v>588</v>
      </c>
      <c r="I699" t="s">
        <v>490</v>
      </c>
      <c r="J699" t="s">
        <v>197</v>
      </c>
      <c r="M699" t="s">
        <v>85</v>
      </c>
      <c r="O699" t="s">
        <v>14</v>
      </c>
      <c r="P699" t="s">
        <v>1491</v>
      </c>
      <c r="Q699" t="s">
        <v>1492</v>
      </c>
      <c r="R699">
        <v>2010</v>
      </c>
      <c r="S699" t="s">
        <v>716</v>
      </c>
      <c r="U699" t="s">
        <v>1493</v>
      </c>
      <c r="V699" t="s">
        <v>1494</v>
      </c>
      <c r="W699" t="s">
        <v>91</v>
      </c>
      <c r="X699" t="s">
        <v>126</v>
      </c>
      <c r="Y699" t="s">
        <v>939</v>
      </c>
      <c r="Z699" t="s">
        <v>1495</v>
      </c>
      <c r="AA699" t="s">
        <v>1496</v>
      </c>
      <c r="AB699" t="s">
        <v>576</v>
      </c>
      <c r="AC699" t="s">
        <v>1497</v>
      </c>
      <c r="AD699" t="s">
        <v>132</v>
      </c>
      <c r="AE699" t="s">
        <v>133</v>
      </c>
      <c r="AF699" t="s">
        <v>100</v>
      </c>
      <c r="AG699" t="s">
        <v>102</v>
      </c>
      <c r="AH699" t="s">
        <v>102</v>
      </c>
      <c r="AI699" t="s">
        <v>134</v>
      </c>
      <c r="AJ699" t="s">
        <v>135</v>
      </c>
      <c r="AM699" t="s">
        <v>136</v>
      </c>
      <c r="AN699" t="s">
        <v>106</v>
      </c>
      <c r="AT699">
        <f>(47+44)/2</f>
        <v>45.5</v>
      </c>
      <c r="AU699">
        <f>(0.95+0.91)/2</f>
        <v>0.92999999999999994</v>
      </c>
      <c r="AW699" t="s">
        <v>108</v>
      </c>
      <c r="AZ699" t="s">
        <v>212</v>
      </c>
      <c r="BA699" t="s">
        <v>142</v>
      </c>
      <c r="BB699">
        <v>15.2</v>
      </c>
      <c r="BC699">
        <v>18.399999999999999</v>
      </c>
      <c r="BD699">
        <f>(0.4+0.6)/2</f>
        <v>0.5</v>
      </c>
      <c r="BE699" t="s">
        <v>139</v>
      </c>
      <c r="BF699">
        <v>30</v>
      </c>
      <c r="BI699">
        <v>6</v>
      </c>
      <c r="BJ699">
        <v>1</v>
      </c>
      <c r="BK699">
        <v>6</v>
      </c>
      <c r="BM699">
        <f>(7.9+7.5)/2</f>
        <v>7.7</v>
      </c>
      <c r="BR699" t="s">
        <v>69</v>
      </c>
      <c r="BT699" t="s">
        <v>1498</v>
      </c>
      <c r="BU699" t="s">
        <v>1499</v>
      </c>
      <c r="BV699">
        <v>29.9</v>
      </c>
      <c r="BW699">
        <v>0.6</v>
      </c>
      <c r="BX699">
        <v>6</v>
      </c>
      <c r="BY699">
        <v>30.9</v>
      </c>
      <c r="BZ699">
        <v>0.05</v>
      </c>
      <c r="CA699">
        <v>6</v>
      </c>
      <c r="CB699" t="s">
        <v>215</v>
      </c>
      <c r="CC699" t="s">
        <v>1500</v>
      </c>
    </row>
    <row r="700" spans="1:81" x14ac:dyDescent="0.25">
      <c r="A700" t="s">
        <v>81</v>
      </c>
      <c r="B700">
        <v>699</v>
      </c>
      <c r="C700">
        <v>129</v>
      </c>
      <c r="D700">
        <v>117</v>
      </c>
      <c r="E700">
        <v>135</v>
      </c>
      <c r="F700">
        <v>141</v>
      </c>
      <c r="G700">
        <v>401</v>
      </c>
      <c r="H700">
        <v>589</v>
      </c>
      <c r="I700" t="s">
        <v>490</v>
      </c>
      <c r="J700" t="s">
        <v>197</v>
      </c>
      <c r="M700" t="s">
        <v>85</v>
      </c>
      <c r="O700" t="s">
        <v>14</v>
      </c>
      <c r="P700" t="s">
        <v>1491</v>
      </c>
      <c r="Q700" t="s">
        <v>1492</v>
      </c>
      <c r="R700">
        <v>2010</v>
      </c>
      <c r="S700" t="s">
        <v>716</v>
      </c>
      <c r="U700" t="s">
        <v>1493</v>
      </c>
      <c r="V700" t="s">
        <v>1494</v>
      </c>
      <c r="W700" t="s">
        <v>91</v>
      </c>
      <c r="X700" t="s">
        <v>126</v>
      </c>
      <c r="Y700" t="s">
        <v>939</v>
      </c>
      <c r="Z700" t="s">
        <v>1495</v>
      </c>
      <c r="AA700" t="s">
        <v>1496</v>
      </c>
      <c r="AB700" t="s">
        <v>576</v>
      </c>
      <c r="AC700" t="s">
        <v>1497</v>
      </c>
      <c r="AD700" t="s">
        <v>132</v>
      </c>
      <c r="AE700" t="s">
        <v>133</v>
      </c>
      <c r="AF700" t="s">
        <v>100</v>
      </c>
      <c r="AG700" t="s">
        <v>102</v>
      </c>
      <c r="AH700" t="s">
        <v>102</v>
      </c>
      <c r="AI700" t="s">
        <v>134</v>
      </c>
      <c r="AJ700" t="s">
        <v>135</v>
      </c>
      <c r="AM700" t="s">
        <v>136</v>
      </c>
      <c r="AN700" t="s">
        <v>106</v>
      </c>
      <c r="AT700">
        <f>(44+44)/2</f>
        <v>44</v>
      </c>
      <c r="AU700">
        <f>(0.91+1.02)/2</f>
        <v>0.96500000000000008</v>
      </c>
      <c r="AW700" t="s">
        <v>108</v>
      </c>
      <c r="AZ700" t="s">
        <v>212</v>
      </c>
      <c r="BA700" t="s">
        <v>142</v>
      </c>
      <c r="BB700">
        <v>18.399999999999999</v>
      </c>
      <c r="BC700">
        <v>20.9</v>
      </c>
      <c r="BD700">
        <f>(0.6+0.2)/2</f>
        <v>0.4</v>
      </c>
      <c r="BE700" t="s">
        <v>139</v>
      </c>
      <c r="BF700">
        <v>30</v>
      </c>
      <c r="BI700">
        <v>6</v>
      </c>
      <c r="BJ700">
        <v>1</v>
      </c>
      <c r="BK700">
        <v>6</v>
      </c>
      <c r="BM700">
        <f>(7.5+7.1)/2</f>
        <v>7.3</v>
      </c>
      <c r="BR700" t="s">
        <v>69</v>
      </c>
      <c r="BT700" t="s">
        <v>1498</v>
      </c>
      <c r="BU700" t="s">
        <v>1499</v>
      </c>
      <c r="BV700">
        <v>30.9</v>
      </c>
      <c r="BW700">
        <v>0.05</v>
      </c>
      <c r="BX700">
        <v>6</v>
      </c>
      <c r="BY700">
        <v>30.9</v>
      </c>
      <c r="BZ700">
        <v>0.08</v>
      </c>
      <c r="CA700">
        <v>6</v>
      </c>
      <c r="CB700" t="s">
        <v>215</v>
      </c>
      <c r="CC700" t="s">
        <v>1500</v>
      </c>
    </row>
    <row r="701" spans="1:81" x14ac:dyDescent="0.25">
      <c r="A701" t="s">
        <v>81</v>
      </c>
      <c r="B701">
        <v>700</v>
      </c>
      <c r="C701">
        <v>129</v>
      </c>
      <c r="D701">
        <v>117</v>
      </c>
      <c r="E701">
        <v>135</v>
      </c>
      <c r="F701">
        <v>141</v>
      </c>
      <c r="G701">
        <v>401</v>
      </c>
      <c r="H701">
        <v>590</v>
      </c>
      <c r="I701" t="s">
        <v>490</v>
      </c>
      <c r="J701" t="s">
        <v>197</v>
      </c>
      <c r="M701" t="s">
        <v>85</v>
      </c>
      <c r="O701" t="s">
        <v>14</v>
      </c>
      <c r="P701" t="s">
        <v>1491</v>
      </c>
      <c r="Q701" t="s">
        <v>1492</v>
      </c>
      <c r="R701">
        <v>2010</v>
      </c>
      <c r="S701" t="s">
        <v>716</v>
      </c>
      <c r="U701" t="s">
        <v>1493</v>
      </c>
      <c r="V701" t="s">
        <v>1494</v>
      </c>
      <c r="W701" t="s">
        <v>91</v>
      </c>
      <c r="X701" t="s">
        <v>126</v>
      </c>
      <c r="Y701" t="s">
        <v>939</v>
      </c>
      <c r="Z701" t="s">
        <v>1495</v>
      </c>
      <c r="AA701" t="s">
        <v>1496</v>
      </c>
      <c r="AB701" t="s">
        <v>576</v>
      </c>
      <c r="AC701" t="s">
        <v>1497</v>
      </c>
      <c r="AD701" t="s">
        <v>132</v>
      </c>
      <c r="AE701" t="s">
        <v>133</v>
      </c>
      <c r="AF701" t="s">
        <v>100</v>
      </c>
      <c r="AG701" t="s">
        <v>102</v>
      </c>
      <c r="AH701" t="s">
        <v>102</v>
      </c>
      <c r="AI701" t="s">
        <v>134</v>
      </c>
      <c r="AJ701" t="s">
        <v>135</v>
      </c>
      <c r="AM701" t="s">
        <v>136</v>
      </c>
      <c r="AN701" t="s">
        <v>106</v>
      </c>
      <c r="AT701">
        <f>(44+46)/2</f>
        <v>45</v>
      </c>
      <c r="AU701">
        <f>(1.02+1.12)/2</f>
        <v>1.07</v>
      </c>
      <c r="AW701" t="s">
        <v>108</v>
      </c>
      <c r="AZ701" t="s">
        <v>212</v>
      </c>
      <c r="BA701" t="s">
        <v>142</v>
      </c>
      <c r="BB701">
        <v>20.9</v>
      </c>
      <c r="BC701">
        <v>24</v>
      </c>
      <c r="BD701">
        <f>(0.2+0.1)/2</f>
        <v>0.15000000000000002</v>
      </c>
      <c r="BE701" t="s">
        <v>139</v>
      </c>
      <c r="BF701">
        <v>30</v>
      </c>
      <c r="BI701">
        <v>6</v>
      </c>
      <c r="BJ701">
        <v>1</v>
      </c>
      <c r="BK701">
        <v>6</v>
      </c>
      <c r="BM701">
        <f>(7.1+6.9)/2</f>
        <v>7</v>
      </c>
      <c r="BR701" t="s">
        <v>69</v>
      </c>
      <c r="BT701" t="s">
        <v>1498</v>
      </c>
      <c r="BU701" t="s">
        <v>1499</v>
      </c>
      <c r="BV701">
        <v>30.9</v>
      </c>
      <c r="BW701">
        <v>0.08</v>
      </c>
      <c r="BX701">
        <v>6</v>
      </c>
      <c r="BY701">
        <v>30.9</v>
      </c>
      <c r="BZ701">
        <v>0.06</v>
      </c>
      <c r="CA701">
        <v>6</v>
      </c>
      <c r="CB701" t="s">
        <v>215</v>
      </c>
      <c r="CC701" t="s">
        <v>1500</v>
      </c>
    </row>
    <row r="702" spans="1:81" x14ac:dyDescent="0.25">
      <c r="A702" t="s">
        <v>81</v>
      </c>
      <c r="B702">
        <v>701</v>
      </c>
      <c r="C702">
        <v>130</v>
      </c>
      <c r="D702">
        <v>105</v>
      </c>
      <c r="E702">
        <v>136</v>
      </c>
      <c r="F702">
        <v>142</v>
      </c>
      <c r="G702">
        <v>402</v>
      </c>
      <c r="H702">
        <v>591</v>
      </c>
      <c r="J702" t="s">
        <v>143</v>
      </c>
      <c r="M702" t="s">
        <v>85</v>
      </c>
      <c r="O702" t="s">
        <v>14</v>
      </c>
      <c r="P702" t="s">
        <v>1501</v>
      </c>
      <c r="Q702" t="s">
        <v>1502</v>
      </c>
      <c r="R702">
        <v>2009</v>
      </c>
      <c r="S702" t="s">
        <v>1503</v>
      </c>
      <c r="U702" t="s">
        <v>1504</v>
      </c>
      <c r="V702" t="s">
        <v>1505</v>
      </c>
      <c r="W702" t="s">
        <v>1267</v>
      </c>
      <c r="X702" t="s">
        <v>1268</v>
      </c>
      <c r="Y702" t="s">
        <v>1269</v>
      </c>
      <c r="Z702" t="s">
        <v>1270</v>
      </c>
      <c r="AA702" t="s">
        <v>1271</v>
      </c>
      <c r="AB702" t="s">
        <v>1272</v>
      </c>
      <c r="AC702" t="s">
        <v>1273</v>
      </c>
      <c r="AD702" t="s">
        <v>132</v>
      </c>
      <c r="AE702" t="s">
        <v>316</v>
      </c>
      <c r="AF702" t="s">
        <v>100</v>
      </c>
      <c r="AG702" t="s">
        <v>102</v>
      </c>
      <c r="AH702" t="s">
        <v>102</v>
      </c>
      <c r="AI702" t="s">
        <v>103</v>
      </c>
      <c r="AJ702" t="s">
        <v>135</v>
      </c>
      <c r="AK702">
        <v>7</v>
      </c>
      <c r="AL702">
        <v>17</v>
      </c>
      <c r="AM702" t="s">
        <v>229</v>
      </c>
      <c r="AN702" t="s">
        <v>700</v>
      </c>
      <c r="AU702">
        <v>2.36</v>
      </c>
      <c r="AW702" t="s">
        <v>108</v>
      </c>
      <c r="AZ702" t="s">
        <v>212</v>
      </c>
      <c r="BA702" t="s">
        <v>142</v>
      </c>
      <c r="BB702">
        <v>12</v>
      </c>
      <c r="BC702">
        <v>22</v>
      </c>
      <c r="BD702">
        <v>1</v>
      </c>
      <c r="BE702" t="s">
        <v>111</v>
      </c>
      <c r="BF702">
        <v>30</v>
      </c>
      <c r="BH702">
        <v>2</v>
      </c>
      <c r="BI702">
        <v>4</v>
      </c>
      <c r="BJ702">
        <v>3</v>
      </c>
      <c r="BK702">
        <v>5</v>
      </c>
      <c r="BS702" t="s">
        <v>768</v>
      </c>
      <c r="BU702" t="s">
        <v>1506</v>
      </c>
      <c r="BV702">
        <v>30.9</v>
      </c>
      <c r="BW702">
        <v>0.2040816</v>
      </c>
      <c r="BX702">
        <v>12</v>
      </c>
      <c r="BY702">
        <v>31.8</v>
      </c>
      <c r="BZ702">
        <v>0.15306120000000001</v>
      </c>
      <c r="CA702">
        <v>12</v>
      </c>
      <c r="CB702" t="s">
        <v>215</v>
      </c>
      <c r="CC702" t="s">
        <v>1507</v>
      </c>
    </row>
    <row r="703" spans="1:81" x14ac:dyDescent="0.25">
      <c r="A703" t="s">
        <v>81</v>
      </c>
      <c r="B703">
        <v>702</v>
      </c>
      <c r="C703">
        <v>131</v>
      </c>
      <c r="D703">
        <v>112</v>
      </c>
      <c r="E703">
        <v>128</v>
      </c>
      <c r="F703">
        <v>143</v>
      </c>
      <c r="G703">
        <v>403</v>
      </c>
      <c r="H703">
        <v>592</v>
      </c>
      <c r="I703" t="s">
        <v>1508</v>
      </c>
      <c r="J703" t="s">
        <v>691</v>
      </c>
      <c r="M703" t="s">
        <v>85</v>
      </c>
      <c r="O703" t="s">
        <v>14</v>
      </c>
      <c r="P703" t="s">
        <v>1509</v>
      </c>
      <c r="Q703" t="s">
        <v>1510</v>
      </c>
      <c r="R703">
        <v>2010</v>
      </c>
      <c r="S703" t="s">
        <v>1511</v>
      </c>
      <c r="U703" t="s">
        <v>1512</v>
      </c>
      <c r="V703" t="s">
        <v>1513</v>
      </c>
      <c r="W703" t="s">
        <v>1380</v>
      </c>
      <c r="X703" t="s">
        <v>1381</v>
      </c>
      <c r="Y703" t="s">
        <v>1382</v>
      </c>
      <c r="Z703" t="s">
        <v>1383</v>
      </c>
      <c r="AA703" t="s">
        <v>1384</v>
      </c>
      <c r="AB703" t="s">
        <v>1402</v>
      </c>
      <c r="AC703" t="s">
        <v>1403</v>
      </c>
      <c r="AD703" t="s">
        <v>132</v>
      </c>
      <c r="AE703" t="s">
        <v>316</v>
      </c>
      <c r="AF703" t="s">
        <v>260</v>
      </c>
      <c r="AG703" t="s">
        <v>102</v>
      </c>
      <c r="AH703" t="s">
        <v>102</v>
      </c>
      <c r="AI703" t="s">
        <v>134</v>
      </c>
      <c r="AJ703" t="s">
        <v>104</v>
      </c>
      <c r="AM703" t="s">
        <v>136</v>
      </c>
      <c r="AN703" t="s">
        <v>106</v>
      </c>
      <c r="AT703">
        <f>(1386)/1000</f>
        <v>1.3859999999999999</v>
      </c>
      <c r="AV703">
        <f>((3+8)/2)*7</f>
        <v>38.5</v>
      </c>
      <c r="AW703" t="s">
        <v>108</v>
      </c>
      <c r="AX703">
        <f t="shared" ref="AX703:AX712" si="33">(17+22)/2</f>
        <v>19.5</v>
      </c>
      <c r="AY703" t="s">
        <v>103</v>
      </c>
      <c r="AZ703" t="s">
        <v>212</v>
      </c>
      <c r="BA703" t="s">
        <v>142</v>
      </c>
      <c r="BB703">
        <v>22</v>
      </c>
      <c r="BC703">
        <v>27</v>
      </c>
      <c r="BD703">
        <v>1</v>
      </c>
      <c r="BE703" t="s">
        <v>111</v>
      </c>
      <c r="BF703">
        <v>1</v>
      </c>
      <c r="BH703">
        <v>96</v>
      </c>
      <c r="BI703">
        <v>5</v>
      </c>
      <c r="BJ703">
        <v>3</v>
      </c>
      <c r="BK703">
        <v>7</v>
      </c>
      <c r="BM703">
        <v>7.28</v>
      </c>
      <c r="BO703">
        <v>8.44</v>
      </c>
      <c r="BU703" t="s">
        <v>1514</v>
      </c>
      <c r="BV703">
        <v>35.6</v>
      </c>
      <c r="BW703">
        <v>1.377551</v>
      </c>
      <c r="BX703">
        <v>15</v>
      </c>
      <c r="BY703">
        <v>34.4</v>
      </c>
      <c r="BZ703">
        <v>1.0714286</v>
      </c>
      <c r="CA703">
        <v>15</v>
      </c>
      <c r="CB703" t="s">
        <v>215</v>
      </c>
      <c r="CC703" t="s">
        <v>1397</v>
      </c>
    </row>
    <row r="704" spans="1:81" x14ac:dyDescent="0.25">
      <c r="A704" t="s">
        <v>81</v>
      </c>
      <c r="B704">
        <v>703</v>
      </c>
      <c r="C704">
        <v>131</v>
      </c>
      <c r="D704">
        <v>118</v>
      </c>
      <c r="E704">
        <v>138</v>
      </c>
      <c r="F704">
        <v>144</v>
      </c>
      <c r="G704">
        <v>404</v>
      </c>
      <c r="H704">
        <v>593</v>
      </c>
      <c r="J704" t="s">
        <v>691</v>
      </c>
      <c r="M704" t="s">
        <v>85</v>
      </c>
      <c r="O704" t="s">
        <v>14</v>
      </c>
      <c r="P704" t="s">
        <v>1509</v>
      </c>
      <c r="Q704" t="s">
        <v>1510</v>
      </c>
      <c r="R704">
        <v>2010</v>
      </c>
      <c r="S704" t="s">
        <v>1511</v>
      </c>
      <c r="U704" t="s">
        <v>1512</v>
      </c>
      <c r="V704" t="s">
        <v>1513</v>
      </c>
      <c r="W704" t="s">
        <v>1380</v>
      </c>
      <c r="X704" t="s">
        <v>1381</v>
      </c>
      <c r="Y704" t="s">
        <v>1382</v>
      </c>
      <c r="Z704" t="s">
        <v>1383</v>
      </c>
      <c r="AA704" t="s">
        <v>1515</v>
      </c>
      <c r="AB704" t="s">
        <v>1516</v>
      </c>
      <c r="AC704" t="s">
        <v>1517</v>
      </c>
      <c r="AD704" t="s">
        <v>132</v>
      </c>
      <c r="AE704" t="s">
        <v>316</v>
      </c>
      <c r="AF704" t="s">
        <v>260</v>
      </c>
      <c r="AG704" t="s">
        <v>102</v>
      </c>
      <c r="AH704" t="s">
        <v>102</v>
      </c>
      <c r="AI704" t="s">
        <v>134</v>
      </c>
      <c r="AJ704" t="s">
        <v>104</v>
      </c>
      <c r="AM704" t="s">
        <v>136</v>
      </c>
      <c r="AN704" t="s">
        <v>106</v>
      </c>
      <c r="AT704">
        <f>1377/1000</f>
        <v>1.377</v>
      </c>
      <c r="AV704">
        <f>((3+8)/2)*7</f>
        <v>38.5</v>
      </c>
      <c r="AW704" t="s">
        <v>108</v>
      </c>
      <c r="AX704">
        <f t="shared" si="33"/>
        <v>19.5</v>
      </c>
      <c r="AY704" t="s">
        <v>103</v>
      </c>
      <c r="AZ704" t="s">
        <v>212</v>
      </c>
      <c r="BA704" t="s">
        <v>142</v>
      </c>
      <c r="BB704">
        <v>22</v>
      </c>
      <c r="BC704">
        <v>27</v>
      </c>
      <c r="BD704">
        <v>1</v>
      </c>
      <c r="BE704" t="s">
        <v>111</v>
      </c>
      <c r="BF704">
        <v>1</v>
      </c>
      <c r="BH704">
        <v>96</v>
      </c>
      <c r="BI704">
        <v>5</v>
      </c>
      <c r="BJ704">
        <v>3</v>
      </c>
      <c r="BK704">
        <v>7</v>
      </c>
      <c r="BM704">
        <v>7.28</v>
      </c>
      <c r="BO704">
        <v>8.44</v>
      </c>
      <c r="BU704" t="s">
        <v>1514</v>
      </c>
      <c r="BV704">
        <v>35</v>
      </c>
      <c r="BW704">
        <v>1.2244898</v>
      </c>
      <c r="BX704">
        <v>15</v>
      </c>
      <c r="BY704">
        <v>34.1</v>
      </c>
      <c r="BZ704">
        <v>1.3265305999999999</v>
      </c>
      <c r="CA704">
        <v>15</v>
      </c>
      <c r="CB704" t="s">
        <v>215</v>
      </c>
      <c r="CC704" t="s">
        <v>1397</v>
      </c>
    </row>
    <row r="705" spans="1:81" x14ac:dyDescent="0.25">
      <c r="A705" t="s">
        <v>81</v>
      </c>
      <c r="B705">
        <v>704</v>
      </c>
      <c r="C705">
        <v>131</v>
      </c>
      <c r="D705">
        <v>119</v>
      </c>
      <c r="E705">
        <v>139</v>
      </c>
      <c r="F705">
        <v>145</v>
      </c>
      <c r="G705">
        <v>405</v>
      </c>
      <c r="H705">
        <v>594</v>
      </c>
      <c r="J705" t="s">
        <v>691</v>
      </c>
      <c r="M705" t="s">
        <v>85</v>
      </c>
      <c r="O705" t="s">
        <v>14</v>
      </c>
      <c r="P705" t="s">
        <v>1509</v>
      </c>
      <c r="Q705" t="s">
        <v>1510</v>
      </c>
      <c r="R705">
        <v>2010</v>
      </c>
      <c r="S705" t="s">
        <v>1511</v>
      </c>
      <c r="U705" t="s">
        <v>1512</v>
      </c>
      <c r="V705" t="s">
        <v>1513</v>
      </c>
      <c r="W705" t="s">
        <v>1380</v>
      </c>
      <c r="X705" t="s">
        <v>1381</v>
      </c>
      <c r="Y705" t="s">
        <v>1382</v>
      </c>
      <c r="Z705" t="s">
        <v>1383</v>
      </c>
      <c r="AA705" t="s">
        <v>1518</v>
      </c>
      <c r="AB705" t="s">
        <v>1519</v>
      </c>
      <c r="AC705" t="s">
        <v>1520</v>
      </c>
      <c r="AD705" t="s">
        <v>132</v>
      </c>
      <c r="AE705" t="s">
        <v>316</v>
      </c>
      <c r="AF705" t="s">
        <v>260</v>
      </c>
      <c r="AG705" t="s">
        <v>102</v>
      </c>
      <c r="AH705" t="s">
        <v>102</v>
      </c>
      <c r="AI705" t="s">
        <v>134</v>
      </c>
      <c r="AJ705" t="s">
        <v>104</v>
      </c>
      <c r="AM705" t="s">
        <v>136</v>
      </c>
      <c r="AN705" t="s">
        <v>106</v>
      </c>
      <c r="AT705">
        <f>947/1000</f>
        <v>0.94699999999999995</v>
      </c>
      <c r="AV705">
        <f>((3+8)/2)*7</f>
        <v>38.5</v>
      </c>
      <c r="AW705" t="s">
        <v>108</v>
      </c>
      <c r="AX705">
        <f t="shared" si="33"/>
        <v>19.5</v>
      </c>
      <c r="AY705" t="s">
        <v>103</v>
      </c>
      <c r="AZ705" t="s">
        <v>212</v>
      </c>
      <c r="BA705" t="s">
        <v>142</v>
      </c>
      <c r="BB705">
        <v>22</v>
      </c>
      <c r="BC705">
        <v>27</v>
      </c>
      <c r="BD705">
        <v>1</v>
      </c>
      <c r="BE705" t="s">
        <v>111</v>
      </c>
      <c r="BF705">
        <v>1</v>
      </c>
      <c r="BH705">
        <v>96</v>
      </c>
      <c r="BI705">
        <v>5</v>
      </c>
      <c r="BJ705">
        <v>3</v>
      </c>
      <c r="BK705">
        <v>7</v>
      </c>
      <c r="BM705">
        <v>7.28</v>
      </c>
      <c r="BO705">
        <v>8.44</v>
      </c>
      <c r="BU705" t="s">
        <v>1514</v>
      </c>
      <c r="BV705">
        <v>32.5</v>
      </c>
      <c r="BW705">
        <v>1.9897959000000001</v>
      </c>
      <c r="BX705">
        <v>15</v>
      </c>
      <c r="BY705">
        <v>35.1</v>
      </c>
      <c r="BZ705">
        <v>1.8367347000000001</v>
      </c>
      <c r="CA705">
        <v>15</v>
      </c>
      <c r="CB705" t="s">
        <v>215</v>
      </c>
      <c r="CC705" t="s">
        <v>1397</v>
      </c>
    </row>
    <row r="706" spans="1:81" x14ac:dyDescent="0.25">
      <c r="A706" t="s">
        <v>81</v>
      </c>
      <c r="B706">
        <v>705</v>
      </c>
      <c r="C706">
        <v>131</v>
      </c>
      <c r="D706">
        <v>120</v>
      </c>
      <c r="E706">
        <v>140</v>
      </c>
      <c r="F706">
        <v>146</v>
      </c>
      <c r="G706">
        <v>406</v>
      </c>
      <c r="H706">
        <v>595</v>
      </c>
      <c r="J706" t="s">
        <v>691</v>
      </c>
      <c r="M706" t="s">
        <v>85</v>
      </c>
      <c r="O706" t="s">
        <v>14</v>
      </c>
      <c r="P706" t="s">
        <v>1509</v>
      </c>
      <c r="Q706" t="s">
        <v>1510</v>
      </c>
      <c r="R706">
        <v>2010</v>
      </c>
      <c r="S706" t="s">
        <v>1511</v>
      </c>
      <c r="U706" t="s">
        <v>1512</v>
      </c>
      <c r="V706" t="s">
        <v>1513</v>
      </c>
      <c r="W706" t="s">
        <v>1380</v>
      </c>
      <c r="X706" t="s">
        <v>1381</v>
      </c>
      <c r="Y706" t="s">
        <v>1382</v>
      </c>
      <c r="Z706" t="s">
        <v>1383</v>
      </c>
      <c r="AA706" t="s">
        <v>1521</v>
      </c>
      <c r="AB706" t="s">
        <v>1522</v>
      </c>
      <c r="AC706" t="s">
        <v>1523</v>
      </c>
      <c r="AD706" t="s">
        <v>132</v>
      </c>
      <c r="AE706" t="s">
        <v>316</v>
      </c>
      <c r="AF706" t="s">
        <v>260</v>
      </c>
      <c r="AG706" t="s">
        <v>102</v>
      </c>
      <c r="AH706" t="s">
        <v>102</v>
      </c>
      <c r="AI706" t="s">
        <v>134</v>
      </c>
      <c r="AJ706" t="s">
        <v>104</v>
      </c>
      <c r="AM706" t="s">
        <v>136</v>
      </c>
      <c r="AN706" t="s">
        <v>106</v>
      </c>
      <c r="AT706">
        <f>335/1000</f>
        <v>0.33500000000000002</v>
      </c>
      <c r="AV706">
        <f>((1+4)/2)*7</f>
        <v>17.5</v>
      </c>
      <c r="AW706" t="s">
        <v>108</v>
      </c>
      <c r="AX706">
        <f t="shared" si="33"/>
        <v>19.5</v>
      </c>
      <c r="AY706" t="s">
        <v>103</v>
      </c>
      <c r="AZ706" t="s">
        <v>212</v>
      </c>
      <c r="BA706" t="s">
        <v>142</v>
      </c>
      <c r="BB706">
        <v>22</v>
      </c>
      <c r="BC706">
        <v>27</v>
      </c>
      <c r="BD706">
        <v>1</v>
      </c>
      <c r="BE706" t="s">
        <v>111</v>
      </c>
      <c r="BF706">
        <v>1</v>
      </c>
      <c r="BH706">
        <v>96</v>
      </c>
      <c r="BI706">
        <v>5</v>
      </c>
      <c r="BJ706">
        <v>3</v>
      </c>
      <c r="BK706">
        <v>7</v>
      </c>
      <c r="BM706">
        <v>7.28</v>
      </c>
      <c r="BO706">
        <v>8.44</v>
      </c>
      <c r="BU706" t="s">
        <v>1524</v>
      </c>
      <c r="BV706">
        <v>38.799999999999997</v>
      </c>
      <c r="BW706">
        <v>4.2857143000000004</v>
      </c>
      <c r="BX706">
        <v>15</v>
      </c>
      <c r="BY706">
        <v>33.1</v>
      </c>
      <c r="BZ706">
        <v>1.6326531</v>
      </c>
      <c r="CA706">
        <v>15</v>
      </c>
      <c r="CB706" t="s">
        <v>215</v>
      </c>
      <c r="CC706" t="s">
        <v>1397</v>
      </c>
    </row>
    <row r="707" spans="1:81" x14ac:dyDescent="0.25">
      <c r="A707" t="s">
        <v>81</v>
      </c>
      <c r="B707">
        <v>706</v>
      </c>
      <c r="C707">
        <v>131</v>
      </c>
      <c r="D707">
        <v>121</v>
      </c>
      <c r="E707">
        <v>141</v>
      </c>
      <c r="F707">
        <v>147</v>
      </c>
      <c r="G707">
        <v>407</v>
      </c>
      <c r="H707">
        <v>596</v>
      </c>
      <c r="J707" t="s">
        <v>691</v>
      </c>
      <c r="M707" t="s">
        <v>85</v>
      </c>
      <c r="O707" t="s">
        <v>14</v>
      </c>
      <c r="P707" t="s">
        <v>1509</v>
      </c>
      <c r="Q707" t="s">
        <v>1510</v>
      </c>
      <c r="R707">
        <v>2010</v>
      </c>
      <c r="S707" t="s">
        <v>1511</v>
      </c>
      <c r="U707" t="s">
        <v>1512</v>
      </c>
      <c r="V707" t="s">
        <v>1513</v>
      </c>
      <c r="W707" t="s">
        <v>1380</v>
      </c>
      <c r="X707" t="s">
        <v>1381</v>
      </c>
      <c r="Y707" t="s">
        <v>1382</v>
      </c>
      <c r="Z707" t="s">
        <v>1383</v>
      </c>
      <c r="AA707" t="s">
        <v>1525</v>
      </c>
      <c r="AB707" t="s">
        <v>1526</v>
      </c>
      <c r="AC707" t="s">
        <v>1527</v>
      </c>
      <c r="AD707" t="s">
        <v>132</v>
      </c>
      <c r="AE707" t="s">
        <v>316</v>
      </c>
      <c r="AF707" t="s">
        <v>260</v>
      </c>
      <c r="AG707" t="s">
        <v>102</v>
      </c>
      <c r="AH707" t="s">
        <v>102</v>
      </c>
      <c r="AI707" t="s">
        <v>134</v>
      </c>
      <c r="AJ707" t="s">
        <v>104</v>
      </c>
      <c r="AM707" t="s">
        <v>136</v>
      </c>
      <c r="AN707" t="s">
        <v>106</v>
      </c>
      <c r="AT707">
        <f>363/1000</f>
        <v>0.36299999999999999</v>
      </c>
      <c r="AV707">
        <f>((1+4)/2)*7</f>
        <v>17.5</v>
      </c>
      <c r="AW707" t="s">
        <v>108</v>
      </c>
      <c r="AX707">
        <f t="shared" si="33"/>
        <v>19.5</v>
      </c>
      <c r="AY707" t="s">
        <v>103</v>
      </c>
      <c r="AZ707" t="s">
        <v>212</v>
      </c>
      <c r="BA707" t="s">
        <v>142</v>
      </c>
      <c r="BB707">
        <v>22</v>
      </c>
      <c r="BC707">
        <v>27</v>
      </c>
      <c r="BD707">
        <v>1</v>
      </c>
      <c r="BE707" t="s">
        <v>111</v>
      </c>
      <c r="BF707">
        <v>1</v>
      </c>
      <c r="BH707">
        <v>96</v>
      </c>
      <c r="BI707">
        <v>5</v>
      </c>
      <c r="BJ707">
        <v>3</v>
      </c>
      <c r="BK707">
        <v>7</v>
      </c>
      <c r="BM707">
        <v>7.28</v>
      </c>
      <c r="BO707">
        <v>8.44</v>
      </c>
      <c r="BU707" t="s">
        <v>1524</v>
      </c>
      <c r="BV707">
        <v>34.6</v>
      </c>
      <c r="BW707">
        <v>1.377551</v>
      </c>
      <c r="BX707">
        <v>15</v>
      </c>
      <c r="BY707">
        <v>34.200000000000003</v>
      </c>
      <c r="BZ707">
        <v>1.3265305999999999</v>
      </c>
      <c r="CA707">
        <v>15</v>
      </c>
      <c r="CB707" t="s">
        <v>215</v>
      </c>
      <c r="CC707" t="s">
        <v>1397</v>
      </c>
    </row>
    <row r="708" spans="1:81" x14ac:dyDescent="0.25">
      <c r="A708" t="s">
        <v>81</v>
      </c>
      <c r="B708">
        <v>707</v>
      </c>
      <c r="C708">
        <v>131</v>
      </c>
      <c r="D708">
        <v>122</v>
      </c>
      <c r="E708">
        <v>142</v>
      </c>
      <c r="F708">
        <v>148</v>
      </c>
      <c r="G708">
        <v>408</v>
      </c>
      <c r="H708">
        <v>597</v>
      </c>
      <c r="J708" t="s">
        <v>691</v>
      </c>
      <c r="M708" t="s">
        <v>85</v>
      </c>
      <c r="O708" t="s">
        <v>14</v>
      </c>
      <c r="P708" t="s">
        <v>1509</v>
      </c>
      <c r="Q708" t="s">
        <v>1510</v>
      </c>
      <c r="R708">
        <v>2010</v>
      </c>
      <c r="S708" t="s">
        <v>1511</v>
      </c>
      <c r="U708" t="s">
        <v>1512</v>
      </c>
      <c r="V708" t="s">
        <v>1513</v>
      </c>
      <c r="W708" t="s">
        <v>1380</v>
      </c>
      <c r="X708" t="s">
        <v>1381</v>
      </c>
      <c r="Y708" t="s">
        <v>1382</v>
      </c>
      <c r="Z708" t="s">
        <v>1383</v>
      </c>
      <c r="AA708" t="s">
        <v>1528</v>
      </c>
      <c r="AB708" t="s">
        <v>1529</v>
      </c>
      <c r="AC708" t="s">
        <v>1530</v>
      </c>
      <c r="AD708" t="s">
        <v>132</v>
      </c>
      <c r="AE708" t="s">
        <v>316</v>
      </c>
      <c r="AF708" t="s">
        <v>260</v>
      </c>
      <c r="AG708" t="s">
        <v>102</v>
      </c>
      <c r="AH708" t="s">
        <v>102</v>
      </c>
      <c r="AI708" t="s">
        <v>134</v>
      </c>
      <c r="AJ708" t="s">
        <v>104</v>
      </c>
      <c r="AM708" t="s">
        <v>136</v>
      </c>
      <c r="AN708" t="s">
        <v>106</v>
      </c>
      <c r="AT708">
        <f>364/1000</f>
        <v>0.36399999999999999</v>
      </c>
      <c r="AV708">
        <f>((1+4)/2)*7</f>
        <v>17.5</v>
      </c>
      <c r="AW708" t="s">
        <v>108</v>
      </c>
      <c r="AX708">
        <f t="shared" si="33"/>
        <v>19.5</v>
      </c>
      <c r="AY708" t="s">
        <v>103</v>
      </c>
      <c r="AZ708" t="s">
        <v>212</v>
      </c>
      <c r="BA708" t="s">
        <v>142</v>
      </c>
      <c r="BB708">
        <v>22</v>
      </c>
      <c r="BC708">
        <v>27</v>
      </c>
      <c r="BD708">
        <v>1</v>
      </c>
      <c r="BE708" t="s">
        <v>111</v>
      </c>
      <c r="BF708">
        <v>1</v>
      </c>
      <c r="BH708">
        <v>96</v>
      </c>
      <c r="BI708">
        <v>5</v>
      </c>
      <c r="BJ708">
        <v>3</v>
      </c>
      <c r="BK708">
        <v>7</v>
      </c>
      <c r="BM708">
        <v>7.28</v>
      </c>
      <c r="BO708">
        <v>8.44</v>
      </c>
      <c r="BU708" t="s">
        <v>1524</v>
      </c>
      <c r="BV708">
        <v>34.200000000000003</v>
      </c>
      <c r="BW708">
        <v>1.2244898</v>
      </c>
      <c r="BX708">
        <v>15</v>
      </c>
      <c r="BY708">
        <v>34</v>
      </c>
      <c r="BZ708">
        <v>1.5816326999999999</v>
      </c>
      <c r="CA708">
        <v>15</v>
      </c>
      <c r="CB708" t="s">
        <v>215</v>
      </c>
      <c r="CC708" t="s">
        <v>1397</v>
      </c>
    </row>
    <row r="709" spans="1:81" x14ac:dyDescent="0.25">
      <c r="A709" t="s">
        <v>81</v>
      </c>
      <c r="B709">
        <v>708</v>
      </c>
      <c r="C709">
        <v>131</v>
      </c>
      <c r="D709">
        <v>123</v>
      </c>
      <c r="E709">
        <v>143</v>
      </c>
      <c r="F709">
        <v>149</v>
      </c>
      <c r="G709">
        <v>409</v>
      </c>
      <c r="H709">
        <v>598</v>
      </c>
      <c r="J709" t="s">
        <v>691</v>
      </c>
      <c r="M709" t="s">
        <v>85</v>
      </c>
      <c r="O709" t="s">
        <v>14</v>
      </c>
      <c r="P709" t="s">
        <v>1509</v>
      </c>
      <c r="Q709" t="s">
        <v>1510</v>
      </c>
      <c r="R709">
        <v>2010</v>
      </c>
      <c r="S709" t="s">
        <v>1511</v>
      </c>
      <c r="U709" t="s">
        <v>1512</v>
      </c>
      <c r="V709" t="s">
        <v>1513</v>
      </c>
      <c r="W709" t="s">
        <v>1380</v>
      </c>
      <c r="X709" t="s">
        <v>1381</v>
      </c>
      <c r="Y709" t="s">
        <v>1382</v>
      </c>
      <c r="Z709" t="s">
        <v>1383</v>
      </c>
      <c r="AA709" t="s">
        <v>1531</v>
      </c>
      <c r="AB709" t="s">
        <v>1532</v>
      </c>
      <c r="AC709" t="s">
        <v>1533</v>
      </c>
      <c r="AD709" t="s">
        <v>132</v>
      </c>
      <c r="AE709" t="s">
        <v>316</v>
      </c>
      <c r="AF709" t="s">
        <v>260</v>
      </c>
      <c r="AG709" t="s">
        <v>102</v>
      </c>
      <c r="AH709" t="s">
        <v>102</v>
      </c>
      <c r="AI709" t="s">
        <v>134</v>
      </c>
      <c r="AJ709" t="s">
        <v>104</v>
      </c>
      <c r="AM709" t="s">
        <v>136</v>
      </c>
      <c r="AN709" t="s">
        <v>106</v>
      </c>
      <c r="AT709">
        <f>398/1000</f>
        <v>0.39800000000000002</v>
      </c>
      <c r="AV709">
        <f>((1+4)/2)*7</f>
        <v>17.5</v>
      </c>
      <c r="AW709" t="s">
        <v>108</v>
      </c>
      <c r="AX709">
        <f t="shared" si="33"/>
        <v>19.5</v>
      </c>
      <c r="AY709" t="s">
        <v>103</v>
      </c>
      <c r="AZ709" t="s">
        <v>212</v>
      </c>
      <c r="BA709" t="s">
        <v>142</v>
      </c>
      <c r="BB709">
        <v>22</v>
      </c>
      <c r="BC709">
        <v>27</v>
      </c>
      <c r="BD709">
        <v>1</v>
      </c>
      <c r="BE709" t="s">
        <v>111</v>
      </c>
      <c r="BF709">
        <v>1</v>
      </c>
      <c r="BH709">
        <v>96</v>
      </c>
      <c r="BI709">
        <v>5</v>
      </c>
      <c r="BJ709">
        <v>3</v>
      </c>
      <c r="BK709">
        <v>7</v>
      </c>
      <c r="BM709">
        <v>7.28</v>
      </c>
      <c r="BO709">
        <v>8.44</v>
      </c>
      <c r="BU709" t="s">
        <v>1524</v>
      </c>
      <c r="BV709">
        <v>35</v>
      </c>
      <c r="BW709">
        <v>1.4285714</v>
      </c>
      <c r="BX709">
        <v>15</v>
      </c>
      <c r="BY709">
        <v>35.1</v>
      </c>
      <c r="BZ709">
        <v>1.2755102</v>
      </c>
      <c r="CA709">
        <v>15</v>
      </c>
      <c r="CB709" t="s">
        <v>215</v>
      </c>
      <c r="CC709" t="s">
        <v>1397</v>
      </c>
    </row>
    <row r="710" spans="1:81" x14ac:dyDescent="0.25">
      <c r="A710" t="s">
        <v>81</v>
      </c>
      <c r="B710">
        <v>709</v>
      </c>
      <c r="C710">
        <v>132</v>
      </c>
      <c r="D710">
        <v>112</v>
      </c>
      <c r="E710">
        <v>128</v>
      </c>
      <c r="F710">
        <v>143</v>
      </c>
      <c r="G710">
        <v>410</v>
      </c>
      <c r="H710">
        <v>599</v>
      </c>
      <c r="I710" t="s">
        <v>1534</v>
      </c>
      <c r="J710" t="s">
        <v>691</v>
      </c>
      <c r="M710" t="s">
        <v>85</v>
      </c>
      <c r="O710" t="s">
        <v>14</v>
      </c>
      <c r="P710" t="s">
        <v>1535</v>
      </c>
      <c r="Q710" t="s">
        <v>1536</v>
      </c>
      <c r="R710">
        <v>2010</v>
      </c>
      <c r="S710" t="s">
        <v>1537</v>
      </c>
      <c r="U710" t="s">
        <v>1538</v>
      </c>
      <c r="V710" t="s">
        <v>1539</v>
      </c>
      <c r="W710" t="s">
        <v>1380</v>
      </c>
      <c r="X710" t="s">
        <v>1381</v>
      </c>
      <c r="Y710" t="s">
        <v>1382</v>
      </c>
      <c r="Z710" t="s">
        <v>1383</v>
      </c>
      <c r="AA710" t="s">
        <v>1384</v>
      </c>
      <c r="AB710" t="s">
        <v>1402</v>
      </c>
      <c r="AC710" t="s">
        <v>1403</v>
      </c>
      <c r="AD710" t="s">
        <v>132</v>
      </c>
      <c r="AE710" t="s">
        <v>316</v>
      </c>
      <c r="AF710" t="s">
        <v>260</v>
      </c>
      <c r="AG710" t="s">
        <v>102</v>
      </c>
      <c r="AH710" t="s">
        <v>102</v>
      </c>
      <c r="AI710" t="s">
        <v>134</v>
      </c>
      <c r="AJ710" t="s">
        <v>104</v>
      </c>
      <c r="AM710" t="s">
        <v>136</v>
      </c>
      <c r="AN710" t="s">
        <v>106</v>
      </c>
      <c r="AT710">
        <f>1386/1000</f>
        <v>1.3859999999999999</v>
      </c>
      <c r="AV710">
        <f>AV703-2</f>
        <v>36.5</v>
      </c>
      <c r="AW710" t="s">
        <v>108</v>
      </c>
      <c r="AX710">
        <f t="shared" si="33"/>
        <v>19.5</v>
      </c>
      <c r="AY710" t="s">
        <v>103</v>
      </c>
      <c r="AZ710" t="s">
        <v>212</v>
      </c>
      <c r="BA710" t="s">
        <v>142</v>
      </c>
      <c r="BB710">
        <v>22</v>
      </c>
      <c r="BC710">
        <v>27</v>
      </c>
      <c r="BD710">
        <v>1</v>
      </c>
      <c r="BE710" t="s">
        <v>111</v>
      </c>
      <c r="BF710">
        <v>1</v>
      </c>
      <c r="BH710">
        <v>48</v>
      </c>
      <c r="BI710">
        <v>5</v>
      </c>
      <c r="BJ710">
        <v>3</v>
      </c>
      <c r="BK710">
        <v>7</v>
      </c>
      <c r="BM710">
        <v>6.61</v>
      </c>
      <c r="BO710">
        <v>8.31</v>
      </c>
      <c r="BU710" t="s">
        <v>1540</v>
      </c>
      <c r="BV710">
        <v>37</v>
      </c>
      <c r="BW710">
        <v>0.255102</v>
      </c>
      <c r="BX710">
        <v>15</v>
      </c>
      <c r="BY710">
        <v>36.299999999999997</v>
      </c>
      <c r="BZ710">
        <v>0.30612240000000002</v>
      </c>
      <c r="CA710">
        <v>15</v>
      </c>
      <c r="CB710" t="s">
        <v>215</v>
      </c>
      <c r="CC710" t="s">
        <v>1541</v>
      </c>
    </row>
    <row r="711" spans="1:81" x14ac:dyDescent="0.25">
      <c r="A711" t="s">
        <v>81</v>
      </c>
      <c r="B711">
        <v>710</v>
      </c>
      <c r="C711">
        <v>132</v>
      </c>
      <c r="D711">
        <v>118</v>
      </c>
      <c r="E711">
        <v>138</v>
      </c>
      <c r="F711">
        <v>144</v>
      </c>
      <c r="G711">
        <v>411</v>
      </c>
      <c r="H711">
        <v>600</v>
      </c>
      <c r="I711" t="s">
        <v>1542</v>
      </c>
      <c r="J711" t="s">
        <v>691</v>
      </c>
      <c r="M711" t="s">
        <v>85</v>
      </c>
      <c r="O711" t="s">
        <v>14</v>
      </c>
      <c r="P711" t="s">
        <v>1535</v>
      </c>
      <c r="Q711" t="s">
        <v>1536</v>
      </c>
      <c r="R711">
        <v>2010</v>
      </c>
      <c r="S711" t="s">
        <v>1537</v>
      </c>
      <c r="U711" t="s">
        <v>1538</v>
      </c>
      <c r="V711" t="s">
        <v>1539</v>
      </c>
      <c r="W711" t="s">
        <v>1380</v>
      </c>
      <c r="X711" t="s">
        <v>1381</v>
      </c>
      <c r="Y711" t="s">
        <v>1382</v>
      </c>
      <c r="Z711" t="s">
        <v>1383</v>
      </c>
      <c r="AA711" t="s">
        <v>1515</v>
      </c>
      <c r="AB711" t="s">
        <v>1516</v>
      </c>
      <c r="AC711" t="s">
        <v>1517</v>
      </c>
      <c r="AD711" t="s">
        <v>132</v>
      </c>
      <c r="AE711" t="s">
        <v>316</v>
      </c>
      <c r="AF711" t="s">
        <v>260</v>
      </c>
      <c r="AG711" t="s">
        <v>102</v>
      </c>
      <c r="AH711" t="s">
        <v>102</v>
      </c>
      <c r="AI711" t="s">
        <v>134</v>
      </c>
      <c r="AJ711" t="s">
        <v>104</v>
      </c>
      <c r="AM711" t="s">
        <v>136</v>
      </c>
      <c r="AN711" t="s">
        <v>106</v>
      </c>
      <c r="AT711">
        <f>1377/1000</f>
        <v>1.377</v>
      </c>
      <c r="AV711">
        <f>AV704-2</f>
        <v>36.5</v>
      </c>
      <c r="AW711" t="s">
        <v>108</v>
      </c>
      <c r="AX711">
        <f t="shared" si="33"/>
        <v>19.5</v>
      </c>
      <c r="AY711" t="s">
        <v>103</v>
      </c>
      <c r="AZ711" t="s">
        <v>212</v>
      </c>
      <c r="BA711" t="s">
        <v>142</v>
      </c>
      <c r="BB711">
        <v>22</v>
      </c>
      <c r="BC711">
        <v>27</v>
      </c>
      <c r="BD711">
        <v>1</v>
      </c>
      <c r="BE711" t="s">
        <v>111</v>
      </c>
      <c r="BF711">
        <v>1</v>
      </c>
      <c r="BH711">
        <v>48</v>
      </c>
      <c r="BI711">
        <v>5</v>
      </c>
      <c r="BJ711">
        <v>3</v>
      </c>
      <c r="BK711">
        <v>7</v>
      </c>
      <c r="BM711">
        <v>6.61</v>
      </c>
      <c r="BO711">
        <v>8.31</v>
      </c>
      <c r="BU711" t="s">
        <v>1540</v>
      </c>
      <c r="BV711">
        <v>36.700000000000003</v>
      </c>
      <c r="BW711">
        <v>0.255102</v>
      </c>
      <c r="BX711">
        <v>15</v>
      </c>
      <c r="BY711">
        <v>34.6</v>
      </c>
      <c r="BZ711">
        <v>1.122449</v>
      </c>
      <c r="CA711">
        <v>15</v>
      </c>
      <c r="CB711" t="s">
        <v>215</v>
      </c>
      <c r="CC711" t="s">
        <v>1541</v>
      </c>
    </row>
    <row r="712" spans="1:81" x14ac:dyDescent="0.25">
      <c r="A712" t="s">
        <v>81</v>
      </c>
      <c r="B712">
        <v>711</v>
      </c>
      <c r="C712">
        <v>132</v>
      </c>
      <c r="D712">
        <v>119</v>
      </c>
      <c r="E712">
        <v>139</v>
      </c>
      <c r="F712">
        <v>145</v>
      </c>
      <c r="G712">
        <v>412</v>
      </c>
      <c r="H712">
        <v>601</v>
      </c>
      <c r="I712" t="s">
        <v>1543</v>
      </c>
      <c r="J712" t="s">
        <v>691</v>
      </c>
      <c r="M712" t="s">
        <v>85</v>
      </c>
      <c r="O712" t="s">
        <v>14</v>
      </c>
      <c r="P712" t="s">
        <v>1535</v>
      </c>
      <c r="Q712" t="s">
        <v>1536</v>
      </c>
      <c r="R712">
        <v>2010</v>
      </c>
      <c r="S712" t="s">
        <v>1537</v>
      </c>
      <c r="U712" t="s">
        <v>1538</v>
      </c>
      <c r="V712" t="s">
        <v>1539</v>
      </c>
      <c r="W712" t="s">
        <v>1380</v>
      </c>
      <c r="X712" t="s">
        <v>1381</v>
      </c>
      <c r="Y712" t="s">
        <v>1382</v>
      </c>
      <c r="Z712" t="s">
        <v>1383</v>
      </c>
      <c r="AA712" t="s">
        <v>1518</v>
      </c>
      <c r="AB712" t="s">
        <v>1519</v>
      </c>
      <c r="AC712" t="s">
        <v>1520</v>
      </c>
      <c r="AD712" t="s">
        <v>132</v>
      </c>
      <c r="AE712" t="s">
        <v>316</v>
      </c>
      <c r="AF712" t="s">
        <v>260</v>
      </c>
      <c r="AG712" t="s">
        <v>102</v>
      </c>
      <c r="AH712" t="s">
        <v>102</v>
      </c>
      <c r="AI712" t="s">
        <v>134</v>
      </c>
      <c r="AJ712" t="s">
        <v>104</v>
      </c>
      <c r="AM712" t="s">
        <v>136</v>
      </c>
      <c r="AN712" t="s">
        <v>106</v>
      </c>
      <c r="AT712">
        <f>947/1000</f>
        <v>0.94699999999999995</v>
      </c>
      <c r="AV712">
        <f>AV705-2</f>
        <v>36.5</v>
      </c>
      <c r="AW712" t="s">
        <v>108</v>
      </c>
      <c r="AX712">
        <f t="shared" si="33"/>
        <v>19.5</v>
      </c>
      <c r="AY712" t="s">
        <v>103</v>
      </c>
      <c r="AZ712" t="s">
        <v>212</v>
      </c>
      <c r="BA712" t="s">
        <v>142</v>
      </c>
      <c r="BB712">
        <v>22</v>
      </c>
      <c r="BC712">
        <v>27</v>
      </c>
      <c r="BD712">
        <v>1</v>
      </c>
      <c r="BE712" t="s">
        <v>111</v>
      </c>
      <c r="BF712">
        <v>1</v>
      </c>
      <c r="BH712">
        <v>48</v>
      </c>
      <c r="BI712">
        <v>5</v>
      </c>
      <c r="BJ712">
        <v>3</v>
      </c>
      <c r="BK712">
        <v>7</v>
      </c>
      <c r="BM712">
        <v>6.61</v>
      </c>
      <c r="BO712">
        <v>8.31</v>
      </c>
      <c r="BU712" t="s">
        <v>1540</v>
      </c>
      <c r="BV712">
        <v>44.4</v>
      </c>
      <c r="BW712">
        <v>15.051020400000001</v>
      </c>
      <c r="BX712">
        <v>15</v>
      </c>
      <c r="BY712">
        <v>36.9</v>
      </c>
      <c r="BZ712">
        <v>1.6836735</v>
      </c>
      <c r="CA712">
        <v>15</v>
      </c>
      <c r="CB712" t="s">
        <v>215</v>
      </c>
      <c r="CC712" t="s">
        <v>1541</v>
      </c>
    </row>
    <row r="713" spans="1:81" x14ac:dyDescent="0.25">
      <c r="A713" t="s">
        <v>81</v>
      </c>
      <c r="B713">
        <v>712</v>
      </c>
      <c r="C713">
        <v>133</v>
      </c>
      <c r="D713">
        <v>40</v>
      </c>
      <c r="E713">
        <v>144</v>
      </c>
      <c r="F713">
        <v>150</v>
      </c>
      <c r="G713">
        <v>413</v>
      </c>
      <c r="H713">
        <v>602</v>
      </c>
      <c r="I713" t="s">
        <v>1544</v>
      </c>
      <c r="J713" t="s">
        <v>83</v>
      </c>
      <c r="K713" s="3" t="s">
        <v>1545</v>
      </c>
      <c r="M713" t="s">
        <v>85</v>
      </c>
      <c r="O713" t="s">
        <v>14</v>
      </c>
      <c r="P713" t="s">
        <v>1546</v>
      </c>
      <c r="Q713" t="s">
        <v>1547</v>
      </c>
      <c r="R713">
        <v>2017</v>
      </c>
      <c r="S713" t="s">
        <v>1548</v>
      </c>
      <c r="U713" t="s">
        <v>1549</v>
      </c>
      <c r="V713" t="s">
        <v>1550</v>
      </c>
      <c r="W713" t="s">
        <v>170</v>
      </c>
      <c r="X713" t="s">
        <v>572</v>
      </c>
      <c r="Y713" t="s">
        <v>573</v>
      </c>
      <c r="Z713" t="s">
        <v>574</v>
      </c>
      <c r="AA713" t="s">
        <v>575</v>
      </c>
      <c r="AB713" t="s">
        <v>576</v>
      </c>
      <c r="AC713" t="s">
        <v>577</v>
      </c>
      <c r="AD713" t="s">
        <v>132</v>
      </c>
      <c r="AE713" t="s">
        <v>316</v>
      </c>
      <c r="AF713" t="s">
        <v>260</v>
      </c>
      <c r="AG713" t="s">
        <v>102</v>
      </c>
      <c r="AH713" t="s">
        <v>262</v>
      </c>
      <c r="AI713" t="s">
        <v>134</v>
      </c>
      <c r="AJ713" t="s">
        <v>135</v>
      </c>
      <c r="AM713" t="s">
        <v>136</v>
      </c>
      <c r="AN713" t="s">
        <v>106</v>
      </c>
      <c r="AO713">
        <v>27.179936999999999</v>
      </c>
      <c r="AP713">
        <v>-114.397685</v>
      </c>
      <c r="AQ713">
        <v>0</v>
      </c>
      <c r="AW713" t="s">
        <v>108</v>
      </c>
      <c r="AX713">
        <v>20</v>
      </c>
      <c r="AY713" t="s">
        <v>134</v>
      </c>
      <c r="AZ713" t="s">
        <v>212</v>
      </c>
      <c r="BA713" t="s">
        <v>142</v>
      </c>
      <c r="BB713">
        <v>20</v>
      </c>
      <c r="BC713">
        <v>25</v>
      </c>
      <c r="BE713" t="s">
        <v>139</v>
      </c>
      <c r="BF713">
        <v>28</v>
      </c>
      <c r="BH713">
        <v>1</v>
      </c>
      <c r="BI713">
        <v>6</v>
      </c>
      <c r="BJ713">
        <v>4</v>
      </c>
      <c r="BK713">
        <v>10</v>
      </c>
      <c r="BN713">
        <v>32</v>
      </c>
      <c r="BP713">
        <v>12</v>
      </c>
      <c r="BS713" t="s">
        <v>230</v>
      </c>
      <c r="BU713" t="s">
        <v>1551</v>
      </c>
      <c r="BV713">
        <v>37.637999999999998</v>
      </c>
      <c r="BW713">
        <v>0.11808</v>
      </c>
      <c r="BX713">
        <v>24</v>
      </c>
      <c r="BY713">
        <v>38.46</v>
      </c>
      <c r="BZ713">
        <v>0.11294999999999999</v>
      </c>
      <c r="CA713">
        <v>24</v>
      </c>
      <c r="CB713" t="s">
        <v>215</v>
      </c>
      <c r="CC713" t="s">
        <v>1552</v>
      </c>
    </row>
    <row r="714" spans="1:81" x14ac:dyDescent="0.25">
      <c r="A714" t="s">
        <v>81</v>
      </c>
      <c r="B714">
        <v>713</v>
      </c>
      <c r="C714">
        <v>133</v>
      </c>
      <c r="D714">
        <v>40</v>
      </c>
      <c r="E714">
        <v>145</v>
      </c>
      <c r="F714">
        <v>151</v>
      </c>
      <c r="G714">
        <v>414</v>
      </c>
      <c r="H714">
        <v>603</v>
      </c>
      <c r="I714" t="s">
        <v>1544</v>
      </c>
      <c r="J714" t="s">
        <v>83</v>
      </c>
      <c r="K714" s="3" t="s">
        <v>1545</v>
      </c>
      <c r="M714" t="s">
        <v>85</v>
      </c>
      <c r="O714" t="s">
        <v>14</v>
      </c>
      <c r="P714" t="s">
        <v>1546</v>
      </c>
      <c r="Q714" t="s">
        <v>1547</v>
      </c>
      <c r="R714">
        <v>2017</v>
      </c>
      <c r="S714" t="s">
        <v>1548</v>
      </c>
      <c r="U714" t="s">
        <v>1549</v>
      </c>
      <c r="V714" t="s">
        <v>1550</v>
      </c>
      <c r="W714" t="s">
        <v>170</v>
      </c>
      <c r="X714" t="s">
        <v>572</v>
      </c>
      <c r="Y714" t="s">
        <v>573</v>
      </c>
      <c r="Z714" t="s">
        <v>574</v>
      </c>
      <c r="AA714" t="s">
        <v>575</v>
      </c>
      <c r="AB714" t="s">
        <v>576</v>
      </c>
      <c r="AC714" t="s">
        <v>577</v>
      </c>
      <c r="AD714" t="s">
        <v>132</v>
      </c>
      <c r="AE714" t="s">
        <v>316</v>
      </c>
      <c r="AF714" t="s">
        <v>260</v>
      </c>
      <c r="AG714" t="s">
        <v>102</v>
      </c>
      <c r="AH714" t="s">
        <v>262</v>
      </c>
      <c r="AI714" t="s">
        <v>134</v>
      </c>
      <c r="AJ714" t="s">
        <v>135</v>
      </c>
      <c r="AM714" t="s">
        <v>136</v>
      </c>
      <c r="AN714" t="s">
        <v>106</v>
      </c>
      <c r="AO714">
        <v>31.723725000000002</v>
      </c>
      <c r="AP714">
        <v>-116.72181500000001</v>
      </c>
      <c r="AQ714">
        <v>0</v>
      </c>
      <c r="AW714" t="s">
        <v>108</v>
      </c>
      <c r="AX714">
        <v>20</v>
      </c>
      <c r="AY714" t="s">
        <v>134</v>
      </c>
      <c r="AZ714" t="s">
        <v>212</v>
      </c>
      <c r="BA714" t="s">
        <v>142</v>
      </c>
      <c r="BB714">
        <v>20</v>
      </c>
      <c r="BC714">
        <v>25</v>
      </c>
      <c r="BE714" t="s">
        <v>139</v>
      </c>
      <c r="BF714">
        <v>28</v>
      </c>
      <c r="BH714">
        <v>1</v>
      </c>
      <c r="BI714">
        <v>7</v>
      </c>
      <c r="BJ714">
        <v>4</v>
      </c>
      <c r="BK714">
        <v>10</v>
      </c>
      <c r="BN714">
        <v>32</v>
      </c>
      <c r="BP714">
        <v>12</v>
      </c>
      <c r="BS714" t="s">
        <v>230</v>
      </c>
      <c r="BU714" t="s">
        <v>1553</v>
      </c>
      <c r="BV714">
        <v>36.662999999999997</v>
      </c>
      <c r="BW714">
        <v>0.1067</v>
      </c>
      <c r="BX714">
        <v>28</v>
      </c>
      <c r="BY714">
        <v>37.21</v>
      </c>
      <c r="BZ714">
        <v>7.2611999999999996E-2</v>
      </c>
      <c r="CA714">
        <v>28</v>
      </c>
      <c r="CB714" t="s">
        <v>215</v>
      </c>
      <c r="CC714" t="s">
        <v>1552</v>
      </c>
    </row>
    <row r="715" spans="1:81" x14ac:dyDescent="0.25">
      <c r="A715" t="s">
        <v>81</v>
      </c>
      <c r="B715">
        <v>714</v>
      </c>
      <c r="C715">
        <v>133</v>
      </c>
      <c r="D715">
        <v>40</v>
      </c>
      <c r="E715">
        <v>38</v>
      </c>
      <c r="F715">
        <v>152</v>
      </c>
      <c r="G715">
        <v>415</v>
      </c>
      <c r="H715">
        <v>604</v>
      </c>
      <c r="I715" t="s">
        <v>1554</v>
      </c>
      <c r="J715" t="s">
        <v>83</v>
      </c>
      <c r="K715" s="3" t="s">
        <v>1545</v>
      </c>
      <c r="M715" t="s">
        <v>85</v>
      </c>
      <c r="O715" t="s">
        <v>14</v>
      </c>
      <c r="P715" t="s">
        <v>1546</v>
      </c>
      <c r="Q715" t="s">
        <v>1547</v>
      </c>
      <c r="R715">
        <v>2017</v>
      </c>
      <c r="S715" t="s">
        <v>1548</v>
      </c>
      <c r="U715" t="s">
        <v>1549</v>
      </c>
      <c r="V715" t="s">
        <v>1550</v>
      </c>
      <c r="W715" t="s">
        <v>170</v>
      </c>
      <c r="X715" t="s">
        <v>572</v>
      </c>
      <c r="Y715" t="s">
        <v>573</v>
      </c>
      <c r="Z715" t="s">
        <v>574</v>
      </c>
      <c r="AA715" t="s">
        <v>575</v>
      </c>
      <c r="AB715" t="s">
        <v>576</v>
      </c>
      <c r="AC715" t="s">
        <v>577</v>
      </c>
      <c r="AD715" t="s">
        <v>132</v>
      </c>
      <c r="AE715" t="s">
        <v>316</v>
      </c>
      <c r="AF715" t="s">
        <v>260</v>
      </c>
      <c r="AG715" t="s">
        <v>102</v>
      </c>
      <c r="AH715" t="s">
        <v>262</v>
      </c>
      <c r="AI715" t="s">
        <v>134</v>
      </c>
      <c r="AJ715" t="s">
        <v>135</v>
      </c>
      <c r="AM715" t="s">
        <v>136</v>
      </c>
      <c r="AN715" t="s">
        <v>106</v>
      </c>
      <c r="AO715">
        <v>32.744827999999998</v>
      </c>
      <c r="AP715">
        <v>-117.255264</v>
      </c>
      <c r="AQ715">
        <v>0</v>
      </c>
      <c r="AW715" t="s">
        <v>108</v>
      </c>
      <c r="AX715">
        <v>20</v>
      </c>
      <c r="AY715" t="s">
        <v>134</v>
      </c>
      <c r="AZ715" t="s">
        <v>212</v>
      </c>
      <c r="BA715" t="s">
        <v>142</v>
      </c>
      <c r="BB715">
        <v>20</v>
      </c>
      <c r="BC715">
        <v>25</v>
      </c>
      <c r="BE715" t="s">
        <v>139</v>
      </c>
      <c r="BF715">
        <v>28</v>
      </c>
      <c r="BH715">
        <v>1</v>
      </c>
      <c r="BI715">
        <v>7</v>
      </c>
      <c r="BJ715">
        <v>4</v>
      </c>
      <c r="BK715">
        <v>10</v>
      </c>
      <c r="BN715">
        <v>32</v>
      </c>
      <c r="BP715">
        <v>12</v>
      </c>
      <c r="BS715" t="s">
        <v>230</v>
      </c>
      <c r="BU715" t="s">
        <v>1555</v>
      </c>
      <c r="BV715">
        <v>36.414999999999999</v>
      </c>
      <c r="BW715">
        <v>9.1213000000000002E-2</v>
      </c>
      <c r="BX715">
        <v>28</v>
      </c>
      <c r="BY715">
        <v>37.436999999999998</v>
      </c>
      <c r="BZ715">
        <v>0.10056</v>
      </c>
      <c r="CA715">
        <v>28</v>
      </c>
      <c r="CB715" t="s">
        <v>215</v>
      </c>
      <c r="CC715" t="s">
        <v>1552</v>
      </c>
    </row>
    <row r="716" spans="1:81" x14ac:dyDescent="0.25">
      <c r="A716" t="s">
        <v>81</v>
      </c>
      <c r="B716">
        <v>715</v>
      </c>
      <c r="C716">
        <v>133</v>
      </c>
      <c r="D716">
        <v>40</v>
      </c>
      <c r="E716">
        <v>35</v>
      </c>
      <c r="F716">
        <v>153</v>
      </c>
      <c r="G716">
        <v>416</v>
      </c>
      <c r="H716">
        <v>605</v>
      </c>
      <c r="I716" t="s">
        <v>1556</v>
      </c>
      <c r="J716" t="s">
        <v>83</v>
      </c>
      <c r="K716" s="3" t="s">
        <v>1545</v>
      </c>
      <c r="M716" t="s">
        <v>85</v>
      </c>
      <c r="O716" t="s">
        <v>14</v>
      </c>
      <c r="P716" t="s">
        <v>1546</v>
      </c>
      <c r="Q716" t="s">
        <v>1547</v>
      </c>
      <c r="R716">
        <v>2017</v>
      </c>
      <c r="S716" t="s">
        <v>1548</v>
      </c>
      <c r="U716" t="s">
        <v>1549</v>
      </c>
      <c r="V716" t="s">
        <v>1550</v>
      </c>
      <c r="W716" t="s">
        <v>170</v>
      </c>
      <c r="X716" t="s">
        <v>572</v>
      </c>
      <c r="Y716" t="s">
        <v>573</v>
      </c>
      <c r="Z716" t="s">
        <v>574</v>
      </c>
      <c r="AA716" t="s">
        <v>575</v>
      </c>
      <c r="AB716" t="s">
        <v>576</v>
      </c>
      <c r="AC716" t="s">
        <v>577</v>
      </c>
      <c r="AD716" t="s">
        <v>132</v>
      </c>
      <c r="AE716" t="s">
        <v>316</v>
      </c>
      <c r="AF716" t="s">
        <v>260</v>
      </c>
      <c r="AG716" t="s">
        <v>102</v>
      </c>
      <c r="AH716" t="s">
        <v>262</v>
      </c>
      <c r="AI716" t="s">
        <v>134</v>
      </c>
      <c r="AJ716" t="s">
        <v>135</v>
      </c>
      <c r="AM716" t="s">
        <v>136</v>
      </c>
      <c r="AN716" t="s">
        <v>106</v>
      </c>
      <c r="AO716">
        <v>32.814202000000002</v>
      </c>
      <c r="AP716">
        <v>-117.27337900000001</v>
      </c>
      <c r="AQ716">
        <v>0</v>
      </c>
      <c r="AW716" t="s">
        <v>108</v>
      </c>
      <c r="AX716">
        <v>20</v>
      </c>
      <c r="AY716" t="s">
        <v>134</v>
      </c>
      <c r="AZ716" t="s">
        <v>212</v>
      </c>
      <c r="BA716" t="s">
        <v>142</v>
      </c>
      <c r="BB716">
        <v>20</v>
      </c>
      <c r="BC716">
        <v>25</v>
      </c>
      <c r="BE716" t="s">
        <v>139</v>
      </c>
      <c r="BF716">
        <v>28</v>
      </c>
      <c r="BH716">
        <v>1</v>
      </c>
      <c r="BI716">
        <v>6</v>
      </c>
      <c r="BJ716">
        <f>(3+3+6+6+6+6+6+6+6+6+3+3)/12</f>
        <v>5</v>
      </c>
      <c r="BK716">
        <v>10</v>
      </c>
      <c r="BN716">
        <v>32</v>
      </c>
      <c r="BP716">
        <v>12</v>
      </c>
      <c r="BS716" t="s">
        <v>230</v>
      </c>
      <c r="BU716" t="s">
        <v>1557</v>
      </c>
      <c r="BV716">
        <v>36.75</v>
      </c>
      <c r="BW716">
        <v>0.11380999999999999</v>
      </c>
      <c r="BX716">
        <v>30</v>
      </c>
      <c r="BY716">
        <v>38.03</v>
      </c>
      <c r="BZ716">
        <v>0.13522999999999999</v>
      </c>
      <c r="CA716">
        <v>30</v>
      </c>
      <c r="CB716" t="s">
        <v>215</v>
      </c>
      <c r="CC716" t="s">
        <v>1552</v>
      </c>
    </row>
    <row r="717" spans="1:81" x14ac:dyDescent="0.25">
      <c r="A717" t="s">
        <v>81</v>
      </c>
      <c r="B717">
        <v>716</v>
      </c>
      <c r="C717">
        <v>133</v>
      </c>
      <c r="D717">
        <v>40</v>
      </c>
      <c r="E717">
        <v>148</v>
      </c>
      <c r="F717">
        <v>154</v>
      </c>
      <c r="G717">
        <v>417</v>
      </c>
      <c r="H717">
        <v>606</v>
      </c>
      <c r="I717" t="s">
        <v>1544</v>
      </c>
      <c r="J717" t="s">
        <v>83</v>
      </c>
      <c r="K717" s="3" t="s">
        <v>1545</v>
      </c>
      <c r="M717" t="s">
        <v>85</v>
      </c>
      <c r="O717" t="s">
        <v>14</v>
      </c>
      <c r="P717" t="s">
        <v>1546</v>
      </c>
      <c r="Q717" t="s">
        <v>1547</v>
      </c>
      <c r="R717">
        <v>2017</v>
      </c>
      <c r="S717" t="s">
        <v>1548</v>
      </c>
      <c r="U717" t="s">
        <v>1549</v>
      </c>
      <c r="V717" t="s">
        <v>1550</v>
      </c>
      <c r="W717" t="s">
        <v>170</v>
      </c>
      <c r="X717" t="s">
        <v>572</v>
      </c>
      <c r="Y717" t="s">
        <v>573</v>
      </c>
      <c r="Z717" t="s">
        <v>574</v>
      </c>
      <c r="AA717" t="s">
        <v>575</v>
      </c>
      <c r="AB717" t="s">
        <v>576</v>
      </c>
      <c r="AC717" t="s">
        <v>577</v>
      </c>
      <c r="AD717" t="s">
        <v>132</v>
      </c>
      <c r="AE717" t="s">
        <v>316</v>
      </c>
      <c r="AF717" t="s">
        <v>260</v>
      </c>
      <c r="AG717" t="s">
        <v>102</v>
      </c>
      <c r="AH717" t="s">
        <v>262</v>
      </c>
      <c r="AI717" t="s">
        <v>134</v>
      </c>
      <c r="AJ717" t="s">
        <v>135</v>
      </c>
      <c r="AM717" t="s">
        <v>136</v>
      </c>
      <c r="AN717" t="s">
        <v>106</v>
      </c>
      <c r="AO717">
        <v>33.736857000000001</v>
      </c>
      <c r="AP717">
        <v>-118.373817</v>
      </c>
      <c r="AQ717">
        <v>0</v>
      </c>
      <c r="AW717" t="s">
        <v>108</v>
      </c>
      <c r="AX717">
        <v>20</v>
      </c>
      <c r="AY717" t="s">
        <v>134</v>
      </c>
      <c r="AZ717" t="s">
        <v>212</v>
      </c>
      <c r="BA717" t="s">
        <v>142</v>
      </c>
      <c r="BB717">
        <v>20</v>
      </c>
      <c r="BC717">
        <v>25</v>
      </c>
      <c r="BE717" t="s">
        <v>139</v>
      </c>
      <c r="BF717">
        <v>28</v>
      </c>
      <c r="BH717">
        <v>1</v>
      </c>
      <c r="BI717">
        <v>6</v>
      </c>
      <c r="BJ717">
        <f>(3+3+6+6+6+6+6+6+6+6+3+3)/12</f>
        <v>5</v>
      </c>
      <c r="BK717">
        <v>10</v>
      </c>
      <c r="BN717">
        <v>32</v>
      </c>
      <c r="BP717">
        <v>12</v>
      </c>
      <c r="BS717" t="s">
        <v>230</v>
      </c>
      <c r="BU717" t="s">
        <v>1558</v>
      </c>
      <c r="BV717">
        <v>35.726999999999997</v>
      </c>
      <c r="BW717">
        <v>8.8594000000000006E-2</v>
      </c>
      <c r="BX717">
        <v>30</v>
      </c>
      <c r="BY717">
        <v>36.963000000000001</v>
      </c>
      <c r="BZ717">
        <v>8.2266000000000006E-2</v>
      </c>
      <c r="CA717">
        <v>30</v>
      </c>
      <c r="CB717" t="s">
        <v>215</v>
      </c>
      <c r="CC717" t="s">
        <v>1552</v>
      </c>
    </row>
    <row r="718" spans="1:81" x14ac:dyDescent="0.25">
      <c r="A718" t="s">
        <v>81</v>
      </c>
      <c r="B718">
        <v>717</v>
      </c>
      <c r="C718">
        <v>133</v>
      </c>
      <c r="D718">
        <v>40</v>
      </c>
      <c r="E718">
        <v>37</v>
      </c>
      <c r="F718">
        <v>155</v>
      </c>
      <c r="G718">
        <v>418</v>
      </c>
      <c r="H718">
        <v>607</v>
      </c>
      <c r="I718" t="s">
        <v>1559</v>
      </c>
      <c r="J718" t="s">
        <v>83</v>
      </c>
      <c r="K718" s="3" t="s">
        <v>1545</v>
      </c>
      <c r="M718" t="s">
        <v>85</v>
      </c>
      <c r="O718" t="s">
        <v>14</v>
      </c>
      <c r="P718" t="s">
        <v>1546</v>
      </c>
      <c r="Q718" t="s">
        <v>1547</v>
      </c>
      <c r="R718">
        <v>2017</v>
      </c>
      <c r="S718" t="s">
        <v>1548</v>
      </c>
      <c r="U718" t="s">
        <v>1549</v>
      </c>
      <c r="V718" t="s">
        <v>1550</v>
      </c>
      <c r="W718" t="s">
        <v>170</v>
      </c>
      <c r="X718" t="s">
        <v>572</v>
      </c>
      <c r="Y718" t="s">
        <v>573</v>
      </c>
      <c r="Z718" t="s">
        <v>574</v>
      </c>
      <c r="AA718" t="s">
        <v>575</v>
      </c>
      <c r="AB718" t="s">
        <v>576</v>
      </c>
      <c r="AC718" t="s">
        <v>577</v>
      </c>
      <c r="AD718" t="s">
        <v>132</v>
      </c>
      <c r="AE718" t="s">
        <v>316</v>
      </c>
      <c r="AF718" t="s">
        <v>260</v>
      </c>
      <c r="AG718" t="s">
        <v>102</v>
      </c>
      <c r="AH718" t="s">
        <v>262</v>
      </c>
      <c r="AI718" t="s">
        <v>134</v>
      </c>
      <c r="AJ718" t="s">
        <v>135</v>
      </c>
      <c r="AM718" t="s">
        <v>136</v>
      </c>
      <c r="AN718" t="s">
        <v>106</v>
      </c>
      <c r="AO718">
        <v>36.949533000000002</v>
      </c>
      <c r="AP718">
        <v>-122.046358</v>
      </c>
      <c r="AQ718">
        <v>0</v>
      </c>
      <c r="AW718" t="s">
        <v>108</v>
      </c>
      <c r="AX718">
        <v>20</v>
      </c>
      <c r="AY718" t="s">
        <v>134</v>
      </c>
      <c r="AZ718" t="s">
        <v>212</v>
      </c>
      <c r="BA718" t="s">
        <v>142</v>
      </c>
      <c r="BB718">
        <v>20</v>
      </c>
      <c r="BC718">
        <v>25</v>
      </c>
      <c r="BE718" t="s">
        <v>139</v>
      </c>
      <c r="BF718">
        <v>28</v>
      </c>
      <c r="BH718">
        <v>1</v>
      </c>
      <c r="BI718">
        <v>6</v>
      </c>
      <c r="BJ718">
        <v>5</v>
      </c>
      <c r="BK718">
        <v>10</v>
      </c>
      <c r="BN718">
        <v>32</v>
      </c>
      <c r="BP718">
        <v>12</v>
      </c>
      <c r="BS718" t="s">
        <v>230</v>
      </c>
      <c r="BU718" t="s">
        <v>1560</v>
      </c>
      <c r="BV718">
        <v>34.695999999999998</v>
      </c>
      <c r="BW718">
        <v>0.10102</v>
      </c>
      <c r="BX718">
        <v>30</v>
      </c>
      <c r="BY718">
        <v>35.764000000000003</v>
      </c>
      <c r="BZ718">
        <v>8.9001999999999998E-2</v>
      </c>
      <c r="CA718">
        <v>30</v>
      </c>
      <c r="CB718" t="s">
        <v>215</v>
      </c>
      <c r="CC718" t="s">
        <v>1552</v>
      </c>
    </row>
    <row r="719" spans="1:81" x14ac:dyDescent="0.25">
      <c r="A719" t="s">
        <v>81</v>
      </c>
      <c r="B719">
        <v>718</v>
      </c>
      <c r="C719">
        <v>133</v>
      </c>
      <c r="D719">
        <v>40</v>
      </c>
      <c r="E719">
        <v>36</v>
      </c>
      <c r="F719">
        <v>156</v>
      </c>
      <c r="G719">
        <v>419</v>
      </c>
      <c r="H719">
        <v>608</v>
      </c>
      <c r="I719" t="s">
        <v>1561</v>
      </c>
      <c r="J719" t="s">
        <v>83</v>
      </c>
      <c r="K719" s="3" t="s">
        <v>1545</v>
      </c>
      <c r="M719" t="s">
        <v>85</v>
      </c>
      <c r="O719" t="s">
        <v>14</v>
      </c>
      <c r="P719" t="s">
        <v>1546</v>
      </c>
      <c r="Q719" t="s">
        <v>1547</v>
      </c>
      <c r="R719">
        <v>2017</v>
      </c>
      <c r="S719" t="s">
        <v>1548</v>
      </c>
      <c r="U719" t="s">
        <v>1549</v>
      </c>
      <c r="V719" t="s">
        <v>1550</v>
      </c>
      <c r="W719" t="s">
        <v>170</v>
      </c>
      <c r="X719" t="s">
        <v>572</v>
      </c>
      <c r="Y719" t="s">
        <v>573</v>
      </c>
      <c r="Z719" t="s">
        <v>574</v>
      </c>
      <c r="AA719" t="s">
        <v>575</v>
      </c>
      <c r="AB719" t="s">
        <v>576</v>
      </c>
      <c r="AC719" t="s">
        <v>577</v>
      </c>
      <c r="AD719" t="s">
        <v>132</v>
      </c>
      <c r="AE719" t="s">
        <v>316</v>
      </c>
      <c r="AF719" t="s">
        <v>260</v>
      </c>
      <c r="AG719" t="s">
        <v>102</v>
      </c>
      <c r="AH719" t="s">
        <v>262</v>
      </c>
      <c r="AI719" t="s">
        <v>134</v>
      </c>
      <c r="AJ719" t="s">
        <v>135</v>
      </c>
      <c r="AM719" t="s">
        <v>136</v>
      </c>
      <c r="AN719" t="s">
        <v>106</v>
      </c>
      <c r="AO719">
        <v>37.259630999999999</v>
      </c>
      <c r="AP719">
        <v>-122.41411600000001</v>
      </c>
      <c r="AQ719">
        <v>0</v>
      </c>
      <c r="AW719" t="s">
        <v>108</v>
      </c>
      <c r="AX719">
        <v>20</v>
      </c>
      <c r="AY719" t="s">
        <v>134</v>
      </c>
      <c r="AZ719" t="s">
        <v>212</v>
      </c>
      <c r="BA719" t="s">
        <v>142</v>
      </c>
      <c r="BB719">
        <v>20</v>
      </c>
      <c r="BC719">
        <v>25</v>
      </c>
      <c r="BE719" t="s">
        <v>139</v>
      </c>
      <c r="BF719">
        <v>28</v>
      </c>
      <c r="BH719">
        <v>1</v>
      </c>
      <c r="BI719">
        <v>6</v>
      </c>
      <c r="BJ719">
        <v>5</v>
      </c>
      <c r="BK719">
        <v>10</v>
      </c>
      <c r="BN719">
        <v>32</v>
      </c>
      <c r="BP719">
        <v>12</v>
      </c>
      <c r="BS719" t="s">
        <v>230</v>
      </c>
      <c r="BU719" t="s">
        <v>1562</v>
      </c>
      <c r="BV719">
        <v>35.042999999999999</v>
      </c>
      <c r="BW719">
        <v>0.10541</v>
      </c>
      <c r="BX719">
        <v>30</v>
      </c>
      <c r="BY719">
        <v>36.384</v>
      </c>
      <c r="BZ719">
        <v>0.12266000000000001</v>
      </c>
      <c r="CA719">
        <v>30</v>
      </c>
      <c r="CB719" t="s">
        <v>215</v>
      </c>
      <c r="CC719" t="s">
        <v>1552</v>
      </c>
    </row>
    <row r="720" spans="1:81" x14ac:dyDescent="0.25">
      <c r="A720" t="s">
        <v>81</v>
      </c>
      <c r="B720">
        <v>719</v>
      </c>
      <c r="C720">
        <v>133</v>
      </c>
      <c r="D720">
        <v>40</v>
      </c>
      <c r="E720">
        <v>151</v>
      </c>
      <c r="F720">
        <v>157</v>
      </c>
      <c r="G720">
        <v>420</v>
      </c>
      <c r="H720">
        <v>609</v>
      </c>
      <c r="I720" t="s">
        <v>1544</v>
      </c>
      <c r="J720" t="s">
        <v>83</v>
      </c>
      <c r="K720" s="3" t="s">
        <v>1545</v>
      </c>
      <c r="M720" t="s">
        <v>85</v>
      </c>
      <c r="O720" t="s">
        <v>14</v>
      </c>
      <c r="P720" t="s">
        <v>1546</v>
      </c>
      <c r="Q720" t="s">
        <v>1547</v>
      </c>
      <c r="R720">
        <v>2017</v>
      </c>
      <c r="S720" t="s">
        <v>1548</v>
      </c>
      <c r="U720" t="s">
        <v>1549</v>
      </c>
      <c r="V720" t="s">
        <v>1550</v>
      </c>
      <c r="W720" t="s">
        <v>170</v>
      </c>
      <c r="X720" t="s">
        <v>572</v>
      </c>
      <c r="Y720" t="s">
        <v>573</v>
      </c>
      <c r="Z720" t="s">
        <v>574</v>
      </c>
      <c r="AA720" t="s">
        <v>575</v>
      </c>
      <c r="AB720" t="s">
        <v>576</v>
      </c>
      <c r="AC720" t="s">
        <v>577</v>
      </c>
      <c r="AD720" t="s">
        <v>132</v>
      </c>
      <c r="AE720" t="s">
        <v>316</v>
      </c>
      <c r="AF720" t="s">
        <v>260</v>
      </c>
      <c r="AG720" t="s">
        <v>102</v>
      </c>
      <c r="AH720" t="s">
        <v>262</v>
      </c>
      <c r="AI720" t="s">
        <v>134</v>
      </c>
      <c r="AJ720" t="s">
        <v>135</v>
      </c>
      <c r="AM720" t="s">
        <v>136</v>
      </c>
      <c r="AN720" t="s">
        <v>106</v>
      </c>
      <c r="AO720">
        <v>42.2</v>
      </c>
      <c r="AP720">
        <v>-124.36</v>
      </c>
      <c r="AQ720">
        <v>0</v>
      </c>
      <c r="AW720" t="s">
        <v>108</v>
      </c>
      <c r="AX720">
        <v>20</v>
      </c>
      <c r="AY720" t="s">
        <v>134</v>
      </c>
      <c r="AZ720" t="s">
        <v>212</v>
      </c>
      <c r="BA720" t="s">
        <v>142</v>
      </c>
      <c r="BB720">
        <v>20</v>
      </c>
      <c r="BC720">
        <v>25</v>
      </c>
      <c r="BE720" t="s">
        <v>139</v>
      </c>
      <c r="BF720">
        <v>28</v>
      </c>
      <c r="BH720">
        <v>1</v>
      </c>
      <c r="BI720">
        <v>5</v>
      </c>
      <c r="BJ720">
        <v>3</v>
      </c>
      <c r="BK720">
        <v>10</v>
      </c>
      <c r="BN720">
        <v>32</v>
      </c>
      <c r="BP720">
        <v>12</v>
      </c>
      <c r="BS720" t="s">
        <v>230</v>
      </c>
      <c r="BU720" t="s">
        <v>1563</v>
      </c>
      <c r="BV720">
        <v>35.066000000000003</v>
      </c>
      <c r="BW720">
        <v>0.13700000000000001</v>
      </c>
      <c r="BX720">
        <v>15</v>
      </c>
      <c r="BY720">
        <v>35.722999999999999</v>
      </c>
      <c r="BZ720">
        <v>0.14738999999999999</v>
      </c>
      <c r="CA720">
        <v>15</v>
      </c>
      <c r="CB720" t="s">
        <v>215</v>
      </c>
      <c r="CC720" t="s">
        <v>1552</v>
      </c>
    </row>
    <row r="721" spans="1:81" x14ac:dyDescent="0.25">
      <c r="A721" t="s">
        <v>81</v>
      </c>
      <c r="B721">
        <v>720</v>
      </c>
      <c r="C721">
        <v>133</v>
      </c>
      <c r="D721">
        <v>40</v>
      </c>
      <c r="E721">
        <v>152</v>
      </c>
      <c r="F721">
        <v>158</v>
      </c>
      <c r="G721">
        <v>421</v>
      </c>
      <c r="H721">
        <v>610</v>
      </c>
      <c r="I721" t="s">
        <v>1544</v>
      </c>
      <c r="J721" t="s">
        <v>83</v>
      </c>
      <c r="K721" s="3" t="s">
        <v>1545</v>
      </c>
      <c r="M721" t="s">
        <v>85</v>
      </c>
      <c r="O721" t="s">
        <v>14</v>
      </c>
      <c r="P721" t="s">
        <v>1546</v>
      </c>
      <c r="Q721" t="s">
        <v>1547</v>
      </c>
      <c r="R721">
        <v>2017</v>
      </c>
      <c r="S721" t="s">
        <v>1548</v>
      </c>
      <c r="U721" t="s">
        <v>1549</v>
      </c>
      <c r="V721" t="s">
        <v>1550</v>
      </c>
      <c r="W721" t="s">
        <v>170</v>
      </c>
      <c r="X721" t="s">
        <v>572</v>
      </c>
      <c r="Y721" t="s">
        <v>573</v>
      </c>
      <c r="Z721" t="s">
        <v>574</v>
      </c>
      <c r="AA721" t="s">
        <v>575</v>
      </c>
      <c r="AB721" t="s">
        <v>576</v>
      </c>
      <c r="AC721" t="s">
        <v>577</v>
      </c>
      <c r="AD721" t="s">
        <v>132</v>
      </c>
      <c r="AE721" t="s">
        <v>316</v>
      </c>
      <c r="AF721" t="s">
        <v>260</v>
      </c>
      <c r="AG721" t="s">
        <v>102</v>
      </c>
      <c r="AH721" t="s">
        <v>262</v>
      </c>
      <c r="AI721" t="s">
        <v>134</v>
      </c>
      <c r="AJ721" t="s">
        <v>135</v>
      </c>
      <c r="AM721" t="s">
        <v>136</v>
      </c>
      <c r="AN721" t="s">
        <v>106</v>
      </c>
      <c r="AO721">
        <v>44.03</v>
      </c>
      <c r="AP721">
        <v>-124.13</v>
      </c>
      <c r="AQ721">
        <v>0</v>
      </c>
      <c r="AW721" t="s">
        <v>108</v>
      </c>
      <c r="AX721">
        <v>20</v>
      </c>
      <c r="AY721" t="s">
        <v>134</v>
      </c>
      <c r="AZ721" t="s">
        <v>212</v>
      </c>
      <c r="BA721" t="s">
        <v>142</v>
      </c>
      <c r="BB721">
        <v>20</v>
      </c>
      <c r="BC721">
        <v>25</v>
      </c>
      <c r="BE721" t="s">
        <v>139</v>
      </c>
      <c r="BF721">
        <v>28</v>
      </c>
      <c r="BH721">
        <v>1</v>
      </c>
      <c r="BI721">
        <v>5</v>
      </c>
      <c r="BJ721">
        <v>5</v>
      </c>
      <c r="BK721">
        <v>10</v>
      </c>
      <c r="BN721">
        <v>32</v>
      </c>
      <c r="BP721">
        <v>12</v>
      </c>
      <c r="BS721" t="s">
        <v>230</v>
      </c>
      <c r="BU721" t="s">
        <v>1564</v>
      </c>
      <c r="BV721">
        <v>34.622</v>
      </c>
      <c r="BW721">
        <v>6.7776000000000003E-2</v>
      </c>
      <c r="BX721">
        <v>25</v>
      </c>
      <c r="BY721">
        <v>35.018000000000001</v>
      </c>
      <c r="BZ721">
        <v>8.6734000000000006E-2</v>
      </c>
      <c r="CA721">
        <v>25</v>
      </c>
      <c r="CB721" t="s">
        <v>215</v>
      </c>
      <c r="CC721" t="s">
        <v>1552</v>
      </c>
    </row>
    <row r="722" spans="1:81" x14ac:dyDescent="0.25">
      <c r="A722" t="s">
        <v>81</v>
      </c>
      <c r="B722">
        <v>721</v>
      </c>
      <c r="C722">
        <v>133</v>
      </c>
      <c r="D722">
        <v>40</v>
      </c>
      <c r="E722">
        <v>153</v>
      </c>
      <c r="F722">
        <v>159</v>
      </c>
      <c r="G722">
        <v>422</v>
      </c>
      <c r="H722">
        <v>611</v>
      </c>
      <c r="I722" t="s">
        <v>1544</v>
      </c>
      <c r="J722" t="s">
        <v>83</v>
      </c>
      <c r="K722" s="3" t="s">
        <v>1545</v>
      </c>
      <c r="M722" t="s">
        <v>85</v>
      </c>
      <c r="O722" t="s">
        <v>14</v>
      </c>
      <c r="P722" t="s">
        <v>1546</v>
      </c>
      <c r="Q722" t="s">
        <v>1547</v>
      </c>
      <c r="R722">
        <v>2017</v>
      </c>
      <c r="S722" t="s">
        <v>1548</v>
      </c>
      <c r="U722" t="s">
        <v>1549</v>
      </c>
      <c r="V722" t="s">
        <v>1550</v>
      </c>
      <c r="W722" t="s">
        <v>170</v>
      </c>
      <c r="X722" t="s">
        <v>572</v>
      </c>
      <c r="Y722" t="s">
        <v>573</v>
      </c>
      <c r="Z722" t="s">
        <v>574</v>
      </c>
      <c r="AA722" t="s">
        <v>575</v>
      </c>
      <c r="AB722" t="s">
        <v>576</v>
      </c>
      <c r="AC722" t="s">
        <v>577</v>
      </c>
      <c r="AD722" t="s">
        <v>132</v>
      </c>
      <c r="AE722" t="s">
        <v>316</v>
      </c>
      <c r="AF722" t="s">
        <v>260</v>
      </c>
      <c r="AG722" t="s">
        <v>102</v>
      </c>
      <c r="AH722" t="s">
        <v>262</v>
      </c>
      <c r="AI722" t="s">
        <v>134</v>
      </c>
      <c r="AJ722" t="s">
        <v>135</v>
      </c>
      <c r="AM722" t="s">
        <v>136</v>
      </c>
      <c r="AN722" t="s">
        <v>106</v>
      </c>
      <c r="AO722">
        <v>48.83</v>
      </c>
      <c r="AP722">
        <v>-125.15</v>
      </c>
      <c r="AQ722">
        <v>0</v>
      </c>
      <c r="AW722" t="s">
        <v>108</v>
      </c>
      <c r="AX722">
        <v>20</v>
      </c>
      <c r="AY722" t="s">
        <v>134</v>
      </c>
      <c r="AZ722" t="s">
        <v>212</v>
      </c>
      <c r="BA722" t="s">
        <v>142</v>
      </c>
      <c r="BB722">
        <v>20</v>
      </c>
      <c r="BC722">
        <v>25</v>
      </c>
      <c r="BE722" t="s">
        <v>139</v>
      </c>
      <c r="BF722">
        <v>28</v>
      </c>
      <c r="BH722">
        <v>1</v>
      </c>
      <c r="BI722">
        <v>6</v>
      </c>
      <c r="BJ722">
        <f>5</f>
        <v>5</v>
      </c>
      <c r="BK722">
        <v>10</v>
      </c>
      <c r="BN722">
        <v>32</v>
      </c>
      <c r="BP722">
        <v>12</v>
      </c>
      <c r="BS722" t="s">
        <v>230</v>
      </c>
      <c r="BU722" t="s">
        <v>1565</v>
      </c>
      <c r="BV722">
        <v>34.276000000000003</v>
      </c>
      <c r="BW722">
        <v>0.11806999999999999</v>
      </c>
      <c r="BX722">
        <v>30</v>
      </c>
      <c r="BY722">
        <v>35.51</v>
      </c>
      <c r="BZ722">
        <v>0.13006999999999999</v>
      </c>
      <c r="CA722">
        <v>30</v>
      </c>
      <c r="CB722" t="s">
        <v>215</v>
      </c>
      <c r="CC722" t="s">
        <v>1552</v>
      </c>
    </row>
    <row r="723" spans="1:81" x14ac:dyDescent="0.25">
      <c r="A723" t="s">
        <v>81</v>
      </c>
      <c r="B723">
        <v>722</v>
      </c>
      <c r="C723">
        <v>133</v>
      </c>
      <c r="D723">
        <v>40</v>
      </c>
      <c r="E723">
        <v>154</v>
      </c>
      <c r="F723">
        <v>160</v>
      </c>
      <c r="G723">
        <v>423</v>
      </c>
      <c r="H723">
        <v>612</v>
      </c>
      <c r="I723" t="s">
        <v>1544</v>
      </c>
      <c r="J723" t="s">
        <v>83</v>
      </c>
      <c r="K723" s="3" t="s">
        <v>1545</v>
      </c>
      <c r="M723" t="s">
        <v>85</v>
      </c>
      <c r="O723" t="s">
        <v>14</v>
      </c>
      <c r="P723" t="s">
        <v>1546</v>
      </c>
      <c r="Q723" t="s">
        <v>1547</v>
      </c>
      <c r="R723">
        <v>2017</v>
      </c>
      <c r="S723" t="s">
        <v>1548</v>
      </c>
      <c r="U723" t="s">
        <v>1549</v>
      </c>
      <c r="V723" t="s">
        <v>1550</v>
      </c>
      <c r="W723" t="s">
        <v>170</v>
      </c>
      <c r="X723" t="s">
        <v>572</v>
      </c>
      <c r="Y723" t="s">
        <v>573</v>
      </c>
      <c r="Z723" t="s">
        <v>574</v>
      </c>
      <c r="AA723" t="s">
        <v>575</v>
      </c>
      <c r="AB723" t="s">
        <v>576</v>
      </c>
      <c r="AC723" t="s">
        <v>577</v>
      </c>
      <c r="AD723" t="s">
        <v>132</v>
      </c>
      <c r="AE723" t="s">
        <v>316</v>
      </c>
      <c r="AF723" t="s">
        <v>260</v>
      </c>
      <c r="AG723" t="s">
        <v>102</v>
      </c>
      <c r="AH723" t="s">
        <v>262</v>
      </c>
      <c r="AI723" t="s">
        <v>134</v>
      </c>
      <c r="AJ723" t="s">
        <v>135</v>
      </c>
      <c r="AM723" t="s">
        <v>136</v>
      </c>
      <c r="AN723" t="s">
        <v>106</v>
      </c>
      <c r="AO723">
        <v>50.58</v>
      </c>
      <c r="AP723">
        <v>-128.22999999999999</v>
      </c>
      <c r="AQ723">
        <v>0</v>
      </c>
      <c r="AW723" t="s">
        <v>108</v>
      </c>
      <c r="AX723">
        <v>20</v>
      </c>
      <c r="AY723" t="s">
        <v>134</v>
      </c>
      <c r="AZ723" t="s">
        <v>212</v>
      </c>
      <c r="BA723" t="s">
        <v>142</v>
      </c>
      <c r="BB723">
        <v>20</v>
      </c>
      <c r="BC723">
        <v>25</v>
      </c>
      <c r="BE723" t="s">
        <v>139</v>
      </c>
      <c r="BF723">
        <v>28</v>
      </c>
      <c r="BH723">
        <v>1</v>
      </c>
      <c r="BI723">
        <v>5</v>
      </c>
      <c r="BJ723">
        <v>5</v>
      </c>
      <c r="BK723">
        <v>10</v>
      </c>
      <c r="BN723">
        <v>32</v>
      </c>
      <c r="BP723">
        <v>12</v>
      </c>
      <c r="BS723" t="s">
        <v>230</v>
      </c>
      <c r="BU723" t="s">
        <v>1566</v>
      </c>
      <c r="BV723">
        <v>33.813000000000002</v>
      </c>
      <c r="BW723">
        <v>9.7387000000000001E-2</v>
      </c>
      <c r="BX723">
        <v>25</v>
      </c>
      <c r="BY723">
        <v>34.424999999999997</v>
      </c>
      <c r="BZ723">
        <v>0.11255999999999999</v>
      </c>
      <c r="CA723">
        <v>25</v>
      </c>
      <c r="CB723" t="s">
        <v>215</v>
      </c>
      <c r="CC723" t="s">
        <v>1552</v>
      </c>
    </row>
    <row r="724" spans="1:81" x14ac:dyDescent="0.25">
      <c r="A724" t="s">
        <v>81</v>
      </c>
      <c r="B724">
        <v>723</v>
      </c>
      <c r="C724">
        <v>134</v>
      </c>
      <c r="D724">
        <v>124</v>
      </c>
      <c r="E724">
        <v>155</v>
      </c>
      <c r="F724">
        <v>161</v>
      </c>
      <c r="G724">
        <v>424</v>
      </c>
      <c r="H724">
        <v>613</v>
      </c>
      <c r="I724" t="s">
        <v>1197</v>
      </c>
      <c r="J724" t="s">
        <v>197</v>
      </c>
      <c r="M724" t="s">
        <v>85</v>
      </c>
      <c r="O724" t="s">
        <v>14</v>
      </c>
      <c r="P724" t="s">
        <v>1567</v>
      </c>
      <c r="Q724" t="s">
        <v>1568</v>
      </c>
      <c r="R724">
        <v>1993</v>
      </c>
      <c r="S724" t="s">
        <v>1569</v>
      </c>
      <c r="U724" t="s">
        <v>1570</v>
      </c>
      <c r="V724" t="s">
        <v>1571</v>
      </c>
      <c r="W724" t="s">
        <v>91</v>
      </c>
      <c r="X724" t="s">
        <v>126</v>
      </c>
      <c r="Y724" t="s">
        <v>1572</v>
      </c>
      <c r="Z724" t="s">
        <v>1573</v>
      </c>
      <c r="AA724" t="s">
        <v>1574</v>
      </c>
      <c r="AB724" t="s">
        <v>1575</v>
      </c>
      <c r="AC724" t="s">
        <v>1576</v>
      </c>
      <c r="AD724" t="s">
        <v>132</v>
      </c>
      <c r="AE724" t="s">
        <v>133</v>
      </c>
      <c r="AF724" t="s">
        <v>100</v>
      </c>
      <c r="AG724" t="s">
        <v>102</v>
      </c>
      <c r="AH724" t="s">
        <v>102</v>
      </c>
      <c r="AI724" t="s">
        <v>134</v>
      </c>
      <c r="AJ724" t="s">
        <v>135</v>
      </c>
      <c r="AM724" t="s">
        <v>136</v>
      </c>
      <c r="AN724" t="s">
        <v>106</v>
      </c>
      <c r="AV724">
        <f>30+(4*30.5)+3+7+((19+26)/2)</f>
        <v>184.5</v>
      </c>
      <c r="AW724" t="s">
        <v>108</v>
      </c>
      <c r="AX724">
        <v>20.6</v>
      </c>
      <c r="AY724" t="s">
        <v>103</v>
      </c>
      <c r="AZ724" t="s">
        <v>212</v>
      </c>
      <c r="BA724" t="s">
        <v>142</v>
      </c>
      <c r="BB724">
        <v>12.2</v>
      </c>
      <c r="BC724">
        <v>20</v>
      </c>
      <c r="BD724">
        <f>(0.58+0.33)/2</f>
        <v>0.45499999999999996</v>
      </c>
      <c r="BE724" t="s">
        <v>139</v>
      </c>
      <c r="BF724">
        <f>(19+26)/2</f>
        <v>22.5</v>
      </c>
      <c r="BH724">
        <v>96</v>
      </c>
      <c r="BI724">
        <v>5</v>
      </c>
      <c r="BJ724">
        <v>3</v>
      </c>
      <c r="BK724">
        <v>3</v>
      </c>
      <c r="BN724">
        <v>20</v>
      </c>
      <c r="BR724" t="s">
        <v>69</v>
      </c>
      <c r="BS724" t="s">
        <v>230</v>
      </c>
      <c r="BU724" t="s">
        <v>1577</v>
      </c>
      <c r="BV724">
        <v>28.8</v>
      </c>
      <c r="BW724">
        <v>0.35714289999999999</v>
      </c>
      <c r="BX724">
        <v>15</v>
      </c>
      <c r="BY724">
        <v>31.2</v>
      </c>
      <c r="BZ724">
        <v>0.56122450000000002</v>
      </c>
      <c r="CA724">
        <v>15</v>
      </c>
      <c r="CB724" t="s">
        <v>215</v>
      </c>
      <c r="CC724" t="s">
        <v>1368</v>
      </c>
    </row>
    <row r="725" spans="1:81" x14ac:dyDescent="0.25">
      <c r="A725" t="s">
        <v>81</v>
      </c>
      <c r="B725">
        <v>724</v>
      </c>
      <c r="C725">
        <v>134</v>
      </c>
      <c r="D725">
        <v>124</v>
      </c>
      <c r="E725">
        <v>155</v>
      </c>
      <c r="F725">
        <v>161</v>
      </c>
      <c r="G725">
        <v>424</v>
      </c>
      <c r="H725">
        <v>614</v>
      </c>
      <c r="I725" t="s">
        <v>1197</v>
      </c>
      <c r="J725" t="s">
        <v>197</v>
      </c>
      <c r="M725" t="s">
        <v>85</v>
      </c>
      <c r="O725" t="s">
        <v>14</v>
      </c>
      <c r="P725" t="s">
        <v>1567</v>
      </c>
      <c r="Q725" t="s">
        <v>1568</v>
      </c>
      <c r="R725">
        <v>1993</v>
      </c>
      <c r="S725" t="s">
        <v>1569</v>
      </c>
      <c r="U725" t="s">
        <v>1570</v>
      </c>
      <c r="V725" t="s">
        <v>1571</v>
      </c>
      <c r="W725" t="s">
        <v>91</v>
      </c>
      <c r="X725" t="s">
        <v>126</v>
      </c>
      <c r="Y725" t="s">
        <v>1572</v>
      </c>
      <c r="Z725" t="s">
        <v>1573</v>
      </c>
      <c r="AA725" t="s">
        <v>1574</v>
      </c>
      <c r="AB725" t="s">
        <v>1575</v>
      </c>
      <c r="AC725" t="s">
        <v>1576</v>
      </c>
      <c r="AD725" t="s">
        <v>132</v>
      </c>
      <c r="AE725" t="s">
        <v>133</v>
      </c>
      <c r="AF725" t="s">
        <v>100</v>
      </c>
      <c r="AG725" t="s">
        <v>102</v>
      </c>
      <c r="AH725" t="s">
        <v>102</v>
      </c>
      <c r="AI725" t="s">
        <v>134</v>
      </c>
      <c r="AJ725" t="s">
        <v>135</v>
      </c>
      <c r="AM725" t="s">
        <v>136</v>
      </c>
      <c r="AN725" t="s">
        <v>106</v>
      </c>
      <c r="AV725">
        <f>30+(4*30.5)+3+7+((19+26)/2)</f>
        <v>184.5</v>
      </c>
      <c r="AW725" t="s">
        <v>108</v>
      </c>
      <c r="AX725">
        <v>20.6</v>
      </c>
      <c r="AY725" t="s">
        <v>103</v>
      </c>
      <c r="AZ725" t="s">
        <v>212</v>
      </c>
      <c r="BA725" t="s">
        <v>142</v>
      </c>
      <c r="BB725">
        <v>20</v>
      </c>
      <c r="BC725">
        <v>28.1</v>
      </c>
      <c r="BD725">
        <f>(0.33+0.48)/2</f>
        <v>0.40500000000000003</v>
      </c>
      <c r="BE725" t="s">
        <v>139</v>
      </c>
      <c r="BF725">
        <f>(19+26)/2</f>
        <v>22.5</v>
      </c>
      <c r="BH725">
        <v>96</v>
      </c>
      <c r="BI725">
        <v>5</v>
      </c>
      <c r="BJ725">
        <v>3</v>
      </c>
      <c r="BK725">
        <v>3</v>
      </c>
      <c r="BN725">
        <v>20</v>
      </c>
      <c r="BR725" t="s">
        <v>69</v>
      </c>
      <c r="BS725" t="s">
        <v>230</v>
      </c>
      <c r="BU725" t="s">
        <v>1577</v>
      </c>
      <c r="BV725">
        <v>31.2</v>
      </c>
      <c r="BW725">
        <v>0.56122450000000002</v>
      </c>
      <c r="BX725">
        <v>15</v>
      </c>
      <c r="BY725">
        <v>35.700000000000003</v>
      </c>
      <c r="BZ725">
        <v>0.66326529999999995</v>
      </c>
      <c r="CA725">
        <v>15</v>
      </c>
      <c r="CB725" t="s">
        <v>215</v>
      </c>
      <c r="CC725" t="s">
        <v>1368</v>
      </c>
    </row>
    <row r="726" spans="1:81" x14ac:dyDescent="0.25">
      <c r="A726" t="s">
        <v>81</v>
      </c>
      <c r="B726">
        <v>725</v>
      </c>
      <c r="C726">
        <v>134</v>
      </c>
      <c r="D726">
        <v>124</v>
      </c>
      <c r="E726">
        <v>156</v>
      </c>
      <c r="F726">
        <v>162</v>
      </c>
      <c r="G726">
        <v>425</v>
      </c>
      <c r="H726">
        <v>615</v>
      </c>
      <c r="I726" t="s">
        <v>1197</v>
      </c>
      <c r="J726" t="s">
        <v>197</v>
      </c>
      <c r="M726" t="s">
        <v>85</v>
      </c>
      <c r="O726" t="s">
        <v>14</v>
      </c>
      <c r="P726" t="s">
        <v>1567</v>
      </c>
      <c r="Q726" t="s">
        <v>1568</v>
      </c>
      <c r="R726">
        <v>1993</v>
      </c>
      <c r="S726" t="s">
        <v>1569</v>
      </c>
      <c r="U726" t="s">
        <v>1570</v>
      </c>
      <c r="V726" t="s">
        <v>1571</v>
      </c>
      <c r="W726" t="s">
        <v>91</v>
      </c>
      <c r="X726" t="s">
        <v>126</v>
      </c>
      <c r="Y726" t="s">
        <v>1572</v>
      </c>
      <c r="Z726" t="s">
        <v>1573</v>
      </c>
      <c r="AA726" t="s">
        <v>1574</v>
      </c>
      <c r="AB726" t="s">
        <v>1575</v>
      </c>
      <c r="AC726" t="s">
        <v>1576</v>
      </c>
      <c r="AD726" t="s">
        <v>132</v>
      </c>
      <c r="AE726" t="s">
        <v>133</v>
      </c>
      <c r="AF726" t="s">
        <v>100</v>
      </c>
      <c r="AG726" t="s">
        <v>102</v>
      </c>
      <c r="AH726" t="s">
        <v>102</v>
      </c>
      <c r="AI726" t="s">
        <v>134</v>
      </c>
      <c r="AJ726" t="s">
        <v>135</v>
      </c>
      <c r="AM726" t="s">
        <v>136</v>
      </c>
      <c r="AN726" t="s">
        <v>106</v>
      </c>
      <c r="AV726">
        <f>30+(4*30.5)+3+7+((19+26)/2)</f>
        <v>184.5</v>
      </c>
      <c r="AW726" t="s">
        <v>108</v>
      </c>
      <c r="AX726">
        <v>20.6</v>
      </c>
      <c r="AY726" t="s">
        <v>103</v>
      </c>
      <c r="AZ726" t="s">
        <v>212</v>
      </c>
      <c r="BA726" t="s">
        <v>142</v>
      </c>
      <c r="BB726">
        <v>12.2</v>
      </c>
      <c r="BC726">
        <v>20</v>
      </c>
      <c r="BD726">
        <f>(0.58+0.33)/2</f>
        <v>0.45499999999999996</v>
      </c>
      <c r="BE726" t="s">
        <v>139</v>
      </c>
      <c r="BF726">
        <f>(19+26)/2</f>
        <v>22.5</v>
      </c>
      <c r="BH726">
        <v>96</v>
      </c>
      <c r="BI726">
        <v>5</v>
      </c>
      <c r="BJ726">
        <v>3</v>
      </c>
      <c r="BK726">
        <v>3</v>
      </c>
      <c r="BN726">
        <v>20</v>
      </c>
      <c r="BR726" t="s">
        <v>69</v>
      </c>
      <c r="BS726" t="s">
        <v>230</v>
      </c>
      <c r="BU726" t="s">
        <v>1578</v>
      </c>
      <c r="BV726">
        <v>28.8</v>
      </c>
      <c r="BW726">
        <v>0.35714289999999999</v>
      </c>
      <c r="BX726">
        <v>15</v>
      </c>
      <c r="BY726">
        <v>31.5</v>
      </c>
      <c r="BZ726">
        <v>0.56122450000000002</v>
      </c>
      <c r="CA726">
        <v>15</v>
      </c>
      <c r="CB726" t="s">
        <v>215</v>
      </c>
      <c r="CC726" t="s">
        <v>1368</v>
      </c>
    </row>
    <row r="727" spans="1:81" x14ac:dyDescent="0.25">
      <c r="A727" t="s">
        <v>81</v>
      </c>
      <c r="B727">
        <v>726</v>
      </c>
      <c r="C727">
        <v>134</v>
      </c>
      <c r="D727">
        <v>124</v>
      </c>
      <c r="E727">
        <v>156</v>
      </c>
      <c r="F727">
        <v>162</v>
      </c>
      <c r="G727">
        <v>425</v>
      </c>
      <c r="H727">
        <v>616</v>
      </c>
      <c r="I727" t="s">
        <v>1197</v>
      </c>
      <c r="J727" t="s">
        <v>197</v>
      </c>
      <c r="M727" t="s">
        <v>85</v>
      </c>
      <c r="O727" t="s">
        <v>14</v>
      </c>
      <c r="P727" t="s">
        <v>1567</v>
      </c>
      <c r="Q727" t="s">
        <v>1568</v>
      </c>
      <c r="R727">
        <v>1993</v>
      </c>
      <c r="S727" t="s">
        <v>1569</v>
      </c>
      <c r="U727" t="s">
        <v>1570</v>
      </c>
      <c r="V727" t="s">
        <v>1571</v>
      </c>
      <c r="W727" t="s">
        <v>91</v>
      </c>
      <c r="X727" t="s">
        <v>126</v>
      </c>
      <c r="Y727" t="s">
        <v>1572</v>
      </c>
      <c r="Z727" t="s">
        <v>1573</v>
      </c>
      <c r="AA727" t="s">
        <v>1574</v>
      </c>
      <c r="AB727" t="s">
        <v>1575</v>
      </c>
      <c r="AC727" t="s">
        <v>1576</v>
      </c>
      <c r="AD727" t="s">
        <v>132</v>
      </c>
      <c r="AE727" t="s">
        <v>133</v>
      </c>
      <c r="AF727" t="s">
        <v>100</v>
      </c>
      <c r="AG727" t="s">
        <v>102</v>
      </c>
      <c r="AH727" t="s">
        <v>102</v>
      </c>
      <c r="AI727" t="s">
        <v>134</v>
      </c>
      <c r="AJ727" t="s">
        <v>135</v>
      </c>
      <c r="AM727" t="s">
        <v>136</v>
      </c>
      <c r="AN727" t="s">
        <v>106</v>
      </c>
      <c r="AV727">
        <f>30+(4*30.5)+3+7+((19+26)/2)</f>
        <v>184.5</v>
      </c>
      <c r="AW727" t="s">
        <v>108</v>
      </c>
      <c r="AX727">
        <v>20.6</v>
      </c>
      <c r="AY727" t="s">
        <v>103</v>
      </c>
      <c r="AZ727" t="s">
        <v>212</v>
      </c>
      <c r="BA727" t="s">
        <v>142</v>
      </c>
      <c r="BB727">
        <v>20</v>
      </c>
      <c r="BC727">
        <v>28.1</v>
      </c>
      <c r="BD727">
        <f>(0.33+0.48)/2</f>
        <v>0.40500000000000003</v>
      </c>
      <c r="BE727" t="s">
        <v>139</v>
      </c>
      <c r="BF727">
        <f>(19+26)/2</f>
        <v>22.5</v>
      </c>
      <c r="BH727">
        <v>96</v>
      </c>
      <c r="BI727">
        <v>5</v>
      </c>
      <c r="BJ727">
        <v>3</v>
      </c>
      <c r="BK727">
        <v>3</v>
      </c>
      <c r="BN727">
        <v>20</v>
      </c>
      <c r="BR727" t="s">
        <v>69</v>
      </c>
      <c r="BS727" t="s">
        <v>230</v>
      </c>
      <c r="BU727" t="s">
        <v>1578</v>
      </c>
      <c r="BV727">
        <v>31.5</v>
      </c>
      <c r="BW727">
        <v>0.56122450000000002</v>
      </c>
      <c r="BX727">
        <v>15</v>
      </c>
      <c r="BY727">
        <v>34.6</v>
      </c>
      <c r="BZ727">
        <v>0.81632649999999995</v>
      </c>
      <c r="CA727">
        <v>15</v>
      </c>
      <c r="CB727" t="s">
        <v>215</v>
      </c>
      <c r="CC727" t="s">
        <v>1368</v>
      </c>
    </row>
    <row r="728" spans="1:81" x14ac:dyDescent="0.25">
      <c r="A728" t="s">
        <v>81</v>
      </c>
      <c r="B728">
        <v>727</v>
      </c>
      <c r="C728">
        <v>135</v>
      </c>
      <c r="D728">
        <v>125</v>
      </c>
      <c r="E728">
        <v>157</v>
      </c>
      <c r="F728">
        <v>163</v>
      </c>
      <c r="G728">
        <v>426</v>
      </c>
      <c r="H728">
        <v>617</v>
      </c>
      <c r="I728" t="s">
        <v>1579</v>
      </c>
      <c r="J728" t="s">
        <v>1276</v>
      </c>
      <c r="L728" t="s">
        <v>1580</v>
      </c>
      <c r="M728" t="s">
        <v>85</v>
      </c>
      <c r="O728" t="s">
        <v>14</v>
      </c>
      <c r="P728" t="s">
        <v>1581</v>
      </c>
      <c r="Q728" t="s">
        <v>1582</v>
      </c>
      <c r="R728">
        <v>2014</v>
      </c>
      <c r="S728" t="s">
        <v>158</v>
      </c>
      <c r="U728" t="s">
        <v>1583</v>
      </c>
      <c r="V728" t="s">
        <v>1584</v>
      </c>
      <c r="W728" t="s">
        <v>1380</v>
      </c>
      <c r="X728" t="s">
        <v>1585</v>
      </c>
      <c r="Y728" t="s">
        <v>1586</v>
      </c>
      <c r="Z728" t="s">
        <v>1587</v>
      </c>
      <c r="AA728" t="s">
        <v>1588</v>
      </c>
      <c r="AB728" t="s">
        <v>1589</v>
      </c>
      <c r="AC728" t="s">
        <v>1590</v>
      </c>
      <c r="AD728" t="s">
        <v>132</v>
      </c>
      <c r="AE728" t="s">
        <v>316</v>
      </c>
      <c r="AF728" t="s">
        <v>100</v>
      </c>
      <c r="AG728" t="s">
        <v>101</v>
      </c>
      <c r="AH728" t="s">
        <v>101</v>
      </c>
      <c r="AI728" t="s">
        <v>134</v>
      </c>
      <c r="AJ728" t="s">
        <v>104</v>
      </c>
      <c r="AM728" t="s">
        <v>403</v>
      </c>
      <c r="AN728" t="s">
        <v>106</v>
      </c>
      <c r="AR728" t="s">
        <v>439</v>
      </c>
      <c r="AS728">
        <v>2012</v>
      </c>
      <c r="AW728" t="s">
        <v>108</v>
      </c>
      <c r="AZ728" t="s">
        <v>212</v>
      </c>
      <c r="BA728" t="s">
        <v>142</v>
      </c>
      <c r="BB728">
        <v>13.2</v>
      </c>
      <c r="BC728">
        <v>15.1</v>
      </c>
      <c r="BD728">
        <f>(0.3+0.3)/2</f>
        <v>0.3</v>
      </c>
      <c r="BE728" t="s">
        <v>139</v>
      </c>
      <c r="BG728">
        <f t="shared" ref="BG728:BG735" si="34">1/30</f>
        <v>3.3333333333333333E-2</v>
      </c>
      <c r="BH728">
        <v>0.5</v>
      </c>
      <c r="BI728">
        <v>20</v>
      </c>
      <c r="BJ728">
        <v>3</v>
      </c>
      <c r="BK728">
        <v>20</v>
      </c>
      <c r="BN728">
        <f>(35.1+35.3)/2</f>
        <v>35.200000000000003</v>
      </c>
      <c r="BO728">
        <f>(8.03+8.03)/2</f>
        <v>8.0299999999999994</v>
      </c>
      <c r="BP728">
        <v>14</v>
      </c>
      <c r="BS728" t="s">
        <v>844</v>
      </c>
      <c r="BT728" t="s">
        <v>1591</v>
      </c>
      <c r="BU728" t="s">
        <v>1592</v>
      </c>
      <c r="BV728">
        <v>34.06765</v>
      </c>
      <c r="BW728">
        <v>3.8054999999999999E-2</v>
      </c>
      <c r="BX728">
        <v>60</v>
      </c>
      <c r="BY728">
        <v>34.828749999999999</v>
      </c>
      <c r="BZ728">
        <v>0.2283298</v>
      </c>
      <c r="CA728">
        <v>60</v>
      </c>
      <c r="CB728" t="s">
        <v>215</v>
      </c>
      <c r="CC728" t="s">
        <v>1593</v>
      </c>
    </row>
    <row r="729" spans="1:81" x14ac:dyDescent="0.25">
      <c r="A729" t="s">
        <v>81</v>
      </c>
      <c r="B729">
        <v>728</v>
      </c>
      <c r="C729">
        <v>135</v>
      </c>
      <c r="D729">
        <v>125</v>
      </c>
      <c r="E729">
        <v>157</v>
      </c>
      <c r="F729">
        <v>163</v>
      </c>
      <c r="G729">
        <v>427</v>
      </c>
      <c r="H729">
        <v>618</v>
      </c>
      <c r="I729" t="s">
        <v>1579</v>
      </c>
      <c r="J729" t="s">
        <v>1276</v>
      </c>
      <c r="L729" t="s">
        <v>1580</v>
      </c>
      <c r="M729" t="s">
        <v>85</v>
      </c>
      <c r="O729" t="s">
        <v>14</v>
      </c>
      <c r="P729" t="s">
        <v>1581</v>
      </c>
      <c r="Q729" t="s">
        <v>1582</v>
      </c>
      <c r="R729">
        <v>2014</v>
      </c>
      <c r="S729" t="s">
        <v>158</v>
      </c>
      <c r="U729" t="s">
        <v>1583</v>
      </c>
      <c r="V729" t="s">
        <v>1584</v>
      </c>
      <c r="W729" t="s">
        <v>1380</v>
      </c>
      <c r="X729" t="s">
        <v>1585</v>
      </c>
      <c r="Y729" t="s">
        <v>1586</v>
      </c>
      <c r="Z729" t="s">
        <v>1587</v>
      </c>
      <c r="AA729" t="s">
        <v>1588</v>
      </c>
      <c r="AB729" t="s">
        <v>1589</v>
      </c>
      <c r="AC729" t="s">
        <v>1590</v>
      </c>
      <c r="AD729" t="s">
        <v>132</v>
      </c>
      <c r="AE729" t="s">
        <v>316</v>
      </c>
      <c r="AF729" t="s">
        <v>100</v>
      </c>
      <c r="AG729" t="s">
        <v>101</v>
      </c>
      <c r="AH729" t="s">
        <v>101</v>
      </c>
      <c r="AI729" t="s">
        <v>134</v>
      </c>
      <c r="AJ729" t="s">
        <v>104</v>
      </c>
      <c r="AM729" t="s">
        <v>403</v>
      </c>
      <c r="AN729" t="s">
        <v>106</v>
      </c>
      <c r="AR729" t="s">
        <v>439</v>
      </c>
      <c r="AS729">
        <v>2012</v>
      </c>
      <c r="AW729" t="s">
        <v>108</v>
      </c>
      <c r="AZ729" t="s">
        <v>212</v>
      </c>
      <c r="BA729" t="s">
        <v>142</v>
      </c>
      <c r="BB729">
        <v>13.2</v>
      </c>
      <c r="BC729">
        <v>15.3</v>
      </c>
      <c r="BD729">
        <f>(0.3+0.2)/2</f>
        <v>0.25</v>
      </c>
      <c r="BE729" t="s">
        <v>139</v>
      </c>
      <c r="BG729">
        <f t="shared" si="34"/>
        <v>3.3333333333333333E-2</v>
      </c>
      <c r="BH729">
        <v>0.5</v>
      </c>
      <c r="BI729">
        <v>20</v>
      </c>
      <c r="BJ729">
        <v>3</v>
      </c>
      <c r="BK729">
        <v>20</v>
      </c>
      <c r="BN729">
        <f>(35+34.9)/2</f>
        <v>34.950000000000003</v>
      </c>
      <c r="BO729">
        <f>(7.51+7.53)/2</f>
        <v>7.52</v>
      </c>
      <c r="BP729">
        <v>14</v>
      </c>
      <c r="BS729" t="s">
        <v>844</v>
      </c>
      <c r="BT729" t="s">
        <v>1591</v>
      </c>
      <c r="BU729" t="s">
        <v>1592</v>
      </c>
      <c r="BV729">
        <v>32.989429999999999</v>
      </c>
      <c r="BW729">
        <v>0.19027479999999999</v>
      </c>
      <c r="BX729">
        <v>60</v>
      </c>
      <c r="BY729">
        <v>33.560250000000003</v>
      </c>
      <c r="BZ729">
        <v>5.074E-2</v>
      </c>
      <c r="CA729">
        <v>60</v>
      </c>
      <c r="CB729" t="s">
        <v>215</v>
      </c>
      <c r="CC729" t="s">
        <v>1593</v>
      </c>
    </row>
    <row r="730" spans="1:81" x14ac:dyDescent="0.25">
      <c r="A730" t="s">
        <v>81</v>
      </c>
      <c r="B730">
        <v>729</v>
      </c>
      <c r="C730">
        <v>135</v>
      </c>
      <c r="D730">
        <v>125</v>
      </c>
      <c r="E730">
        <v>157</v>
      </c>
      <c r="F730">
        <v>163</v>
      </c>
      <c r="G730">
        <v>428</v>
      </c>
      <c r="H730">
        <v>619</v>
      </c>
      <c r="I730" t="s">
        <v>1579</v>
      </c>
      <c r="J730" t="s">
        <v>1276</v>
      </c>
      <c r="L730" t="s">
        <v>1580</v>
      </c>
      <c r="M730" t="s">
        <v>85</v>
      </c>
      <c r="O730" t="s">
        <v>14</v>
      </c>
      <c r="P730" t="s">
        <v>1581</v>
      </c>
      <c r="Q730" t="s">
        <v>1582</v>
      </c>
      <c r="R730">
        <v>2014</v>
      </c>
      <c r="S730" t="s">
        <v>158</v>
      </c>
      <c r="U730" t="s">
        <v>1583</v>
      </c>
      <c r="V730" t="s">
        <v>1584</v>
      </c>
      <c r="W730" t="s">
        <v>1380</v>
      </c>
      <c r="X730" t="s">
        <v>1585</v>
      </c>
      <c r="Y730" t="s">
        <v>1586</v>
      </c>
      <c r="Z730" t="s">
        <v>1587</v>
      </c>
      <c r="AA730" t="s">
        <v>1588</v>
      </c>
      <c r="AB730" t="s">
        <v>1589</v>
      </c>
      <c r="AC730" t="s">
        <v>1590</v>
      </c>
      <c r="AD730" t="s">
        <v>132</v>
      </c>
      <c r="AE730" t="s">
        <v>316</v>
      </c>
      <c r="AF730" t="s">
        <v>100</v>
      </c>
      <c r="AG730" t="s">
        <v>261</v>
      </c>
      <c r="AH730" t="s">
        <v>102</v>
      </c>
      <c r="AI730" t="s">
        <v>134</v>
      </c>
      <c r="AJ730" t="s">
        <v>135</v>
      </c>
      <c r="AM730" t="s">
        <v>178</v>
      </c>
      <c r="AN730" t="s">
        <v>106</v>
      </c>
      <c r="AR730" t="s">
        <v>439</v>
      </c>
      <c r="AS730">
        <v>2012</v>
      </c>
      <c r="AW730" t="s">
        <v>108</v>
      </c>
      <c r="AZ730" t="s">
        <v>212</v>
      </c>
      <c r="BA730" t="s">
        <v>142</v>
      </c>
      <c r="BB730">
        <v>13.2</v>
      </c>
      <c r="BC730">
        <v>15.1</v>
      </c>
      <c r="BD730">
        <f>(0.3+0.3)/2</f>
        <v>0.3</v>
      </c>
      <c r="BE730" t="s">
        <v>139</v>
      </c>
      <c r="BG730">
        <f t="shared" si="34"/>
        <v>3.3333333333333333E-2</v>
      </c>
      <c r="BH730">
        <v>0.5</v>
      </c>
      <c r="BI730">
        <v>20</v>
      </c>
      <c r="BJ730">
        <v>3</v>
      </c>
      <c r="BK730">
        <v>20</v>
      </c>
      <c r="BN730">
        <f>(35.1+35.3)/2</f>
        <v>35.200000000000003</v>
      </c>
      <c r="BO730">
        <f>(8.03+8.03)/2</f>
        <v>8.0299999999999994</v>
      </c>
      <c r="BP730">
        <v>14</v>
      </c>
      <c r="BS730" t="s">
        <v>844</v>
      </c>
      <c r="BT730" t="s">
        <v>1591</v>
      </c>
      <c r="BU730" t="s">
        <v>1594</v>
      </c>
      <c r="BV730">
        <v>31.34038</v>
      </c>
      <c r="BW730">
        <v>0.54545449999999995</v>
      </c>
      <c r="BX730">
        <v>60</v>
      </c>
      <c r="BY730">
        <v>31.40381</v>
      </c>
      <c r="BZ730">
        <v>7.6109899999999994E-2</v>
      </c>
      <c r="CA730">
        <v>60</v>
      </c>
      <c r="CB730" t="s">
        <v>215</v>
      </c>
      <c r="CC730" t="s">
        <v>1593</v>
      </c>
    </row>
    <row r="731" spans="1:81" x14ac:dyDescent="0.25">
      <c r="A731" t="s">
        <v>81</v>
      </c>
      <c r="B731">
        <v>730</v>
      </c>
      <c r="C731">
        <v>135</v>
      </c>
      <c r="D731">
        <v>125</v>
      </c>
      <c r="E731">
        <v>157</v>
      </c>
      <c r="F731">
        <v>163</v>
      </c>
      <c r="G731">
        <v>429</v>
      </c>
      <c r="H731">
        <v>620</v>
      </c>
      <c r="I731" t="s">
        <v>1579</v>
      </c>
      <c r="J731" t="s">
        <v>1276</v>
      </c>
      <c r="L731" t="s">
        <v>1580</v>
      </c>
      <c r="M731" t="s">
        <v>85</v>
      </c>
      <c r="O731" t="s">
        <v>14</v>
      </c>
      <c r="P731" t="s">
        <v>1581</v>
      </c>
      <c r="Q731" t="s">
        <v>1582</v>
      </c>
      <c r="R731">
        <v>2014</v>
      </c>
      <c r="S731" t="s">
        <v>158</v>
      </c>
      <c r="U731" t="s">
        <v>1583</v>
      </c>
      <c r="V731" t="s">
        <v>1584</v>
      </c>
      <c r="W731" t="s">
        <v>1380</v>
      </c>
      <c r="X731" t="s">
        <v>1585</v>
      </c>
      <c r="Y731" t="s">
        <v>1586</v>
      </c>
      <c r="Z731" t="s">
        <v>1587</v>
      </c>
      <c r="AA731" t="s">
        <v>1588</v>
      </c>
      <c r="AB731" t="s">
        <v>1589</v>
      </c>
      <c r="AC731" t="s">
        <v>1590</v>
      </c>
      <c r="AD731" t="s">
        <v>132</v>
      </c>
      <c r="AE731" t="s">
        <v>316</v>
      </c>
      <c r="AF731" t="s">
        <v>100</v>
      </c>
      <c r="AG731" t="s">
        <v>261</v>
      </c>
      <c r="AH731" t="s">
        <v>102</v>
      </c>
      <c r="AI731" t="s">
        <v>134</v>
      </c>
      <c r="AJ731" t="s">
        <v>135</v>
      </c>
      <c r="AM731" t="s">
        <v>178</v>
      </c>
      <c r="AN731" t="s">
        <v>106</v>
      </c>
      <c r="AR731" t="s">
        <v>439</v>
      </c>
      <c r="AS731">
        <v>2012</v>
      </c>
      <c r="AW731" t="s">
        <v>108</v>
      </c>
      <c r="AZ731" t="s">
        <v>212</v>
      </c>
      <c r="BA731" t="s">
        <v>142</v>
      </c>
      <c r="BB731">
        <v>13.2</v>
      </c>
      <c r="BC731">
        <v>15.3</v>
      </c>
      <c r="BD731">
        <f>(0.3+0.2)/2</f>
        <v>0.25</v>
      </c>
      <c r="BE731" t="s">
        <v>139</v>
      </c>
      <c r="BG731">
        <f t="shared" si="34"/>
        <v>3.3333333333333333E-2</v>
      </c>
      <c r="BH731">
        <v>0.5</v>
      </c>
      <c r="BI731">
        <v>20</v>
      </c>
      <c r="BJ731">
        <v>3</v>
      </c>
      <c r="BK731">
        <v>20</v>
      </c>
      <c r="BN731">
        <f>(35+34.9)/2</f>
        <v>34.950000000000003</v>
      </c>
      <c r="BO731">
        <f>(7.51+7.53)/2</f>
        <v>7.52</v>
      </c>
      <c r="BP731">
        <v>14</v>
      </c>
      <c r="BS731" t="s">
        <v>844</v>
      </c>
      <c r="BT731" t="s">
        <v>1591</v>
      </c>
      <c r="BU731" t="s">
        <v>1594</v>
      </c>
      <c r="BV731">
        <v>33.966169999999998</v>
      </c>
      <c r="BW731">
        <v>0.62156449999999996</v>
      </c>
      <c r="BX731">
        <v>60</v>
      </c>
      <c r="BY731">
        <v>33.839320000000001</v>
      </c>
      <c r="BZ731">
        <v>0.31712469999999998</v>
      </c>
      <c r="CA731">
        <v>60</v>
      </c>
      <c r="CB731" t="s">
        <v>215</v>
      </c>
      <c r="CC731" t="s">
        <v>1593</v>
      </c>
    </row>
    <row r="732" spans="1:81" x14ac:dyDescent="0.25">
      <c r="A732" t="s">
        <v>81</v>
      </c>
      <c r="B732">
        <v>731</v>
      </c>
      <c r="C732">
        <v>135</v>
      </c>
      <c r="D732">
        <v>125</v>
      </c>
      <c r="E732">
        <v>158</v>
      </c>
      <c r="F732">
        <v>164</v>
      </c>
      <c r="G732">
        <v>430</v>
      </c>
      <c r="H732">
        <v>621</v>
      </c>
      <c r="I732" t="s">
        <v>1579</v>
      </c>
      <c r="J732" t="s">
        <v>1276</v>
      </c>
      <c r="L732" t="s">
        <v>1580</v>
      </c>
      <c r="M732" t="s">
        <v>85</v>
      </c>
      <c r="O732" t="s">
        <v>14</v>
      </c>
      <c r="P732" t="s">
        <v>1581</v>
      </c>
      <c r="Q732" t="s">
        <v>1582</v>
      </c>
      <c r="R732">
        <v>2014</v>
      </c>
      <c r="S732" t="s">
        <v>158</v>
      </c>
      <c r="U732" t="s">
        <v>1583</v>
      </c>
      <c r="V732" t="s">
        <v>1584</v>
      </c>
      <c r="W732" t="s">
        <v>1380</v>
      </c>
      <c r="X732" t="s">
        <v>1585</v>
      </c>
      <c r="Y732" t="s">
        <v>1586</v>
      </c>
      <c r="Z732" t="s">
        <v>1587</v>
      </c>
      <c r="AA732" t="s">
        <v>1588</v>
      </c>
      <c r="AB732" t="s">
        <v>1589</v>
      </c>
      <c r="AC732" t="s">
        <v>1590</v>
      </c>
      <c r="AD732" t="s">
        <v>132</v>
      </c>
      <c r="AE732" t="s">
        <v>316</v>
      </c>
      <c r="AF732" t="s">
        <v>100</v>
      </c>
      <c r="AG732" t="s">
        <v>101</v>
      </c>
      <c r="AH732" t="s">
        <v>101</v>
      </c>
      <c r="AI732" t="s">
        <v>134</v>
      </c>
      <c r="AJ732" t="s">
        <v>104</v>
      </c>
      <c r="AM732" t="s">
        <v>403</v>
      </c>
      <c r="AN732" t="s">
        <v>106</v>
      </c>
      <c r="AR732" t="s">
        <v>317</v>
      </c>
      <c r="AS732">
        <v>2012</v>
      </c>
      <c r="AW732" t="s">
        <v>108</v>
      </c>
      <c r="AZ732" t="s">
        <v>212</v>
      </c>
      <c r="BA732" t="s">
        <v>142</v>
      </c>
      <c r="BB732">
        <v>17.100000000000001</v>
      </c>
      <c r="BC732">
        <v>19</v>
      </c>
      <c r="BD732">
        <v>0.3</v>
      </c>
      <c r="BE732" t="s">
        <v>139</v>
      </c>
      <c r="BG732">
        <f t="shared" si="34"/>
        <v>3.3333333333333333E-2</v>
      </c>
      <c r="BH732">
        <v>0.5</v>
      </c>
      <c r="BI732">
        <v>20</v>
      </c>
      <c r="BJ732">
        <v>3</v>
      </c>
      <c r="BK732">
        <v>20</v>
      </c>
      <c r="BN732">
        <v>35</v>
      </c>
      <c r="BO732">
        <v>8.0399999999999991</v>
      </c>
      <c r="BP732">
        <v>14</v>
      </c>
      <c r="BS732" t="s">
        <v>844</v>
      </c>
      <c r="BT732" t="s">
        <v>1591</v>
      </c>
      <c r="BU732" t="s">
        <v>1595</v>
      </c>
      <c r="BV732">
        <v>35.501060000000003</v>
      </c>
      <c r="BW732">
        <v>0.12684989999999999</v>
      </c>
      <c r="BX732">
        <v>60</v>
      </c>
      <c r="BY732">
        <v>35.501060000000003</v>
      </c>
      <c r="BZ732">
        <v>0.16490489999999999</v>
      </c>
      <c r="CA732">
        <v>60</v>
      </c>
      <c r="CB732" t="s">
        <v>215</v>
      </c>
      <c r="CC732" t="s">
        <v>1593</v>
      </c>
    </row>
    <row r="733" spans="1:81" x14ac:dyDescent="0.25">
      <c r="A733" t="s">
        <v>81</v>
      </c>
      <c r="B733">
        <v>732</v>
      </c>
      <c r="C733">
        <v>135</v>
      </c>
      <c r="D733">
        <v>125</v>
      </c>
      <c r="E733">
        <v>158</v>
      </c>
      <c r="F733">
        <v>164</v>
      </c>
      <c r="G733">
        <v>431</v>
      </c>
      <c r="H733">
        <v>622</v>
      </c>
      <c r="I733" t="s">
        <v>1579</v>
      </c>
      <c r="J733" t="s">
        <v>1276</v>
      </c>
      <c r="L733" t="s">
        <v>1580</v>
      </c>
      <c r="M733" t="s">
        <v>85</v>
      </c>
      <c r="O733" t="s">
        <v>14</v>
      </c>
      <c r="P733" t="s">
        <v>1581</v>
      </c>
      <c r="Q733" t="s">
        <v>1582</v>
      </c>
      <c r="R733">
        <v>2014</v>
      </c>
      <c r="S733" t="s">
        <v>158</v>
      </c>
      <c r="U733" t="s">
        <v>1583</v>
      </c>
      <c r="V733" t="s">
        <v>1584</v>
      </c>
      <c r="W733" t="s">
        <v>1380</v>
      </c>
      <c r="X733" t="s">
        <v>1585</v>
      </c>
      <c r="Y733" t="s">
        <v>1586</v>
      </c>
      <c r="Z733" t="s">
        <v>1587</v>
      </c>
      <c r="AA733" t="s">
        <v>1588</v>
      </c>
      <c r="AB733" t="s">
        <v>1589</v>
      </c>
      <c r="AC733" t="s">
        <v>1590</v>
      </c>
      <c r="AD733" t="s">
        <v>132</v>
      </c>
      <c r="AE733" t="s">
        <v>316</v>
      </c>
      <c r="AF733" t="s">
        <v>100</v>
      </c>
      <c r="AG733" t="s">
        <v>101</v>
      </c>
      <c r="AH733" t="s">
        <v>101</v>
      </c>
      <c r="AI733" t="s">
        <v>134</v>
      </c>
      <c r="AJ733" t="s">
        <v>104</v>
      </c>
      <c r="AM733" t="s">
        <v>403</v>
      </c>
      <c r="AN733" t="s">
        <v>106</v>
      </c>
      <c r="AR733" t="s">
        <v>317</v>
      </c>
      <c r="AS733">
        <v>2012</v>
      </c>
      <c r="AW733" t="s">
        <v>108</v>
      </c>
      <c r="AZ733" t="s">
        <v>212</v>
      </c>
      <c r="BA733" t="s">
        <v>142</v>
      </c>
      <c r="BB733">
        <v>16.899999999999999</v>
      </c>
      <c r="BC733">
        <v>19</v>
      </c>
      <c r="BD733">
        <v>0.3</v>
      </c>
      <c r="BE733" t="s">
        <v>139</v>
      </c>
      <c r="BG733">
        <f t="shared" si="34"/>
        <v>3.3333333333333333E-2</v>
      </c>
      <c r="BH733">
        <v>0.5</v>
      </c>
      <c r="BI733">
        <v>20</v>
      </c>
      <c r="BJ733">
        <v>3</v>
      </c>
      <c r="BK733">
        <v>20</v>
      </c>
      <c r="BN733">
        <v>35.299999999999997</v>
      </c>
      <c r="BO733">
        <v>7.53</v>
      </c>
      <c r="BP733">
        <v>14</v>
      </c>
      <c r="BS733" t="s">
        <v>844</v>
      </c>
      <c r="BT733" t="s">
        <v>1596</v>
      </c>
      <c r="BU733" t="s">
        <v>1595</v>
      </c>
      <c r="BV733">
        <v>34.270609999999998</v>
      </c>
      <c r="BW733">
        <v>0.16490489999999999</v>
      </c>
      <c r="BX733">
        <v>60</v>
      </c>
      <c r="BY733">
        <v>34.498939999999997</v>
      </c>
      <c r="BZ733" t="s">
        <v>454</v>
      </c>
      <c r="CA733">
        <v>60</v>
      </c>
      <c r="CB733" t="s">
        <v>215</v>
      </c>
      <c r="CC733" t="s">
        <v>1593</v>
      </c>
    </row>
    <row r="734" spans="1:81" x14ac:dyDescent="0.25">
      <c r="A734" t="s">
        <v>81</v>
      </c>
      <c r="B734">
        <v>733</v>
      </c>
      <c r="C734">
        <v>135</v>
      </c>
      <c r="D734">
        <v>125</v>
      </c>
      <c r="E734">
        <v>158</v>
      </c>
      <c r="F734">
        <v>164</v>
      </c>
      <c r="G734">
        <v>432</v>
      </c>
      <c r="H734">
        <v>623</v>
      </c>
      <c r="I734" t="s">
        <v>1579</v>
      </c>
      <c r="J734" t="s">
        <v>1276</v>
      </c>
      <c r="L734" t="s">
        <v>1580</v>
      </c>
      <c r="M734" t="s">
        <v>85</v>
      </c>
      <c r="O734" t="s">
        <v>14</v>
      </c>
      <c r="P734" t="s">
        <v>1581</v>
      </c>
      <c r="Q734" t="s">
        <v>1582</v>
      </c>
      <c r="R734">
        <v>2014</v>
      </c>
      <c r="S734" t="s">
        <v>158</v>
      </c>
      <c r="U734" t="s">
        <v>1583</v>
      </c>
      <c r="V734" t="s">
        <v>1584</v>
      </c>
      <c r="W734" t="s">
        <v>1380</v>
      </c>
      <c r="X734" t="s">
        <v>1585</v>
      </c>
      <c r="Y734" t="s">
        <v>1586</v>
      </c>
      <c r="Z734" t="s">
        <v>1587</v>
      </c>
      <c r="AA734" t="s">
        <v>1588</v>
      </c>
      <c r="AB734" t="s">
        <v>1589</v>
      </c>
      <c r="AC734" t="s">
        <v>1590</v>
      </c>
      <c r="AD734" t="s">
        <v>132</v>
      </c>
      <c r="AE734" t="s">
        <v>316</v>
      </c>
      <c r="AF734" t="s">
        <v>100</v>
      </c>
      <c r="AG734" t="s">
        <v>261</v>
      </c>
      <c r="AH734" t="s">
        <v>102</v>
      </c>
      <c r="AI734" t="s">
        <v>134</v>
      </c>
      <c r="AJ734" t="s">
        <v>135</v>
      </c>
      <c r="AM734" t="s">
        <v>178</v>
      </c>
      <c r="AN734" t="s">
        <v>106</v>
      </c>
      <c r="AR734" t="s">
        <v>317</v>
      </c>
      <c r="AS734">
        <v>2012</v>
      </c>
      <c r="AW734" t="s">
        <v>108</v>
      </c>
      <c r="AZ734" t="s">
        <v>212</v>
      </c>
      <c r="BA734" t="s">
        <v>142</v>
      </c>
      <c r="BB734">
        <v>17.100000000000001</v>
      </c>
      <c r="BC734">
        <v>19</v>
      </c>
      <c r="BD734">
        <v>0.3</v>
      </c>
      <c r="BE734" t="s">
        <v>139</v>
      </c>
      <c r="BG734">
        <f t="shared" si="34"/>
        <v>3.3333333333333333E-2</v>
      </c>
      <c r="BH734">
        <v>0.5</v>
      </c>
      <c r="BI734">
        <v>20</v>
      </c>
      <c r="BJ734">
        <v>3</v>
      </c>
      <c r="BK734">
        <v>20</v>
      </c>
      <c r="BN734">
        <v>35</v>
      </c>
      <c r="BO734">
        <v>8.0399999999999991</v>
      </c>
      <c r="BP734">
        <v>14</v>
      </c>
      <c r="BS734" t="s">
        <v>844</v>
      </c>
      <c r="BT734" t="s">
        <v>1591</v>
      </c>
      <c r="BU734" t="s">
        <v>1597</v>
      </c>
      <c r="BV734">
        <v>32.088790000000003</v>
      </c>
      <c r="BW734">
        <v>0.12684989999999999</v>
      </c>
      <c r="BX734">
        <v>60</v>
      </c>
      <c r="BY734">
        <v>33.661729999999999</v>
      </c>
      <c r="BZ734">
        <v>0.12684989999999999</v>
      </c>
      <c r="CA734">
        <v>60</v>
      </c>
      <c r="CB734" t="s">
        <v>215</v>
      </c>
      <c r="CC734" t="s">
        <v>1593</v>
      </c>
    </row>
    <row r="735" spans="1:81" x14ac:dyDescent="0.25">
      <c r="A735" t="s">
        <v>81</v>
      </c>
      <c r="B735">
        <v>734</v>
      </c>
      <c r="C735">
        <v>135</v>
      </c>
      <c r="D735">
        <v>125</v>
      </c>
      <c r="E735">
        <v>158</v>
      </c>
      <c r="F735">
        <v>164</v>
      </c>
      <c r="G735">
        <v>433</v>
      </c>
      <c r="H735">
        <v>624</v>
      </c>
      <c r="I735" t="s">
        <v>1579</v>
      </c>
      <c r="J735" t="s">
        <v>1276</v>
      </c>
      <c r="L735" t="s">
        <v>1580</v>
      </c>
      <c r="M735" t="s">
        <v>85</v>
      </c>
      <c r="O735" t="s">
        <v>14</v>
      </c>
      <c r="P735" t="s">
        <v>1581</v>
      </c>
      <c r="Q735" t="s">
        <v>1582</v>
      </c>
      <c r="R735">
        <v>2014</v>
      </c>
      <c r="S735" t="s">
        <v>158</v>
      </c>
      <c r="U735" t="s">
        <v>1583</v>
      </c>
      <c r="V735" t="s">
        <v>1584</v>
      </c>
      <c r="W735" t="s">
        <v>1380</v>
      </c>
      <c r="X735" t="s">
        <v>1585</v>
      </c>
      <c r="Y735" t="s">
        <v>1586</v>
      </c>
      <c r="Z735" t="s">
        <v>1587</v>
      </c>
      <c r="AA735" t="s">
        <v>1588</v>
      </c>
      <c r="AB735" t="s">
        <v>1589</v>
      </c>
      <c r="AC735" t="s">
        <v>1590</v>
      </c>
      <c r="AD735" t="s">
        <v>132</v>
      </c>
      <c r="AE735" t="s">
        <v>316</v>
      </c>
      <c r="AF735" t="s">
        <v>100</v>
      </c>
      <c r="AG735" t="s">
        <v>261</v>
      </c>
      <c r="AH735" t="s">
        <v>102</v>
      </c>
      <c r="AI735" t="s">
        <v>134</v>
      </c>
      <c r="AJ735" t="s">
        <v>135</v>
      </c>
      <c r="AM735" t="s">
        <v>178</v>
      </c>
      <c r="AN735" t="s">
        <v>106</v>
      </c>
      <c r="AR735" t="s">
        <v>317</v>
      </c>
      <c r="AS735">
        <v>2012</v>
      </c>
      <c r="AW735" t="s">
        <v>108</v>
      </c>
      <c r="AZ735" t="s">
        <v>212</v>
      </c>
      <c r="BA735" t="s">
        <v>142</v>
      </c>
      <c r="BB735">
        <v>16.899999999999999</v>
      </c>
      <c r="BC735">
        <v>19</v>
      </c>
      <c r="BD735">
        <v>0.3</v>
      </c>
      <c r="BE735" t="s">
        <v>139</v>
      </c>
      <c r="BG735">
        <f t="shared" si="34"/>
        <v>3.3333333333333333E-2</v>
      </c>
      <c r="BH735">
        <v>0.5</v>
      </c>
      <c r="BI735">
        <v>20</v>
      </c>
      <c r="BJ735">
        <v>3</v>
      </c>
      <c r="BK735">
        <v>20</v>
      </c>
      <c r="BN735">
        <v>35.299999999999997</v>
      </c>
      <c r="BO735">
        <v>7.53</v>
      </c>
      <c r="BP735">
        <v>14</v>
      </c>
      <c r="BS735" t="s">
        <v>844</v>
      </c>
      <c r="BT735" t="s">
        <v>1591</v>
      </c>
      <c r="BU735" t="s">
        <v>1597</v>
      </c>
      <c r="BV735">
        <v>34.930230000000002</v>
      </c>
      <c r="BW735">
        <v>3.8054999999999999E-2</v>
      </c>
      <c r="BX735">
        <v>60</v>
      </c>
      <c r="BY735">
        <v>35.463000000000001</v>
      </c>
      <c r="BZ735">
        <v>8.8794899999999996E-2</v>
      </c>
      <c r="CA735">
        <v>60</v>
      </c>
      <c r="CB735" t="s">
        <v>215</v>
      </c>
      <c r="CC735" t="s">
        <v>1593</v>
      </c>
    </row>
    <row r="736" spans="1:81" x14ac:dyDescent="0.25">
      <c r="A736" t="s">
        <v>81</v>
      </c>
      <c r="B736">
        <v>735</v>
      </c>
      <c r="C736">
        <v>136</v>
      </c>
      <c r="D736">
        <v>126</v>
      </c>
      <c r="E736">
        <v>159</v>
      </c>
      <c r="F736">
        <v>165</v>
      </c>
      <c r="G736">
        <v>434</v>
      </c>
      <c r="H736">
        <v>625</v>
      </c>
      <c r="I736" t="s">
        <v>1598</v>
      </c>
      <c r="J736" t="s">
        <v>220</v>
      </c>
      <c r="L736" t="s">
        <v>1599</v>
      </c>
      <c r="M736" t="s">
        <v>85</v>
      </c>
      <c r="O736" t="s">
        <v>14</v>
      </c>
      <c r="P736" t="s">
        <v>1600</v>
      </c>
      <c r="Q736" t="s">
        <v>1601</v>
      </c>
      <c r="R736">
        <v>2019</v>
      </c>
      <c r="S736" t="s">
        <v>1602</v>
      </c>
      <c r="U736" t="s">
        <v>1603</v>
      </c>
      <c r="V736" t="s">
        <v>1604</v>
      </c>
      <c r="W736" t="s">
        <v>170</v>
      </c>
      <c r="X736" t="s">
        <v>572</v>
      </c>
      <c r="Y736" t="s">
        <v>1605</v>
      </c>
      <c r="Z736" t="s">
        <v>1606</v>
      </c>
      <c r="AA736" t="s">
        <v>1607</v>
      </c>
      <c r="AB736" t="s">
        <v>1608</v>
      </c>
      <c r="AC736" t="s">
        <v>1609</v>
      </c>
      <c r="AD736" t="s">
        <v>132</v>
      </c>
      <c r="AE736" t="s">
        <v>316</v>
      </c>
      <c r="AF736" t="s">
        <v>260</v>
      </c>
      <c r="AG736" t="s">
        <v>261</v>
      </c>
      <c r="AH736" t="s">
        <v>262</v>
      </c>
      <c r="AI736" t="s">
        <v>134</v>
      </c>
      <c r="AJ736" t="s">
        <v>135</v>
      </c>
      <c r="AM736" t="s">
        <v>178</v>
      </c>
      <c r="AN736" t="s">
        <v>106</v>
      </c>
      <c r="AO736">
        <v>25.283799999999999</v>
      </c>
      <c r="AP736">
        <v>-80.330299999999994</v>
      </c>
      <c r="AQ736">
        <v>0</v>
      </c>
      <c r="AR736" t="s">
        <v>317</v>
      </c>
      <c r="AS736">
        <v>2017</v>
      </c>
      <c r="AW736" t="s">
        <v>264</v>
      </c>
      <c r="AY736" t="s">
        <v>134</v>
      </c>
      <c r="AZ736" t="s">
        <v>212</v>
      </c>
      <c r="BA736" t="s">
        <v>142</v>
      </c>
      <c r="BB736">
        <v>18</v>
      </c>
      <c r="BC736">
        <v>22</v>
      </c>
      <c r="BE736" t="s">
        <v>139</v>
      </c>
      <c r="BH736">
        <v>24</v>
      </c>
      <c r="BI736">
        <v>20</v>
      </c>
      <c r="BJ736">
        <v>6</v>
      </c>
      <c r="BK736">
        <v>1</v>
      </c>
      <c r="BN736">
        <v>30</v>
      </c>
      <c r="BP736">
        <v>12</v>
      </c>
      <c r="BU736" t="s">
        <v>1610</v>
      </c>
      <c r="BV736">
        <v>32.01276</v>
      </c>
      <c r="BW736">
        <v>0.20881669999999999</v>
      </c>
      <c r="BX736">
        <v>120</v>
      </c>
      <c r="BY736">
        <v>33.857309999999998</v>
      </c>
      <c r="BZ736">
        <v>0.19141530000000001</v>
      </c>
      <c r="CA736">
        <v>120</v>
      </c>
      <c r="CB736" t="s">
        <v>215</v>
      </c>
      <c r="CC736" t="s">
        <v>1611</v>
      </c>
    </row>
    <row r="737" spans="1:81" x14ac:dyDescent="0.25">
      <c r="A737" t="s">
        <v>81</v>
      </c>
      <c r="B737">
        <v>736</v>
      </c>
      <c r="C737">
        <v>136</v>
      </c>
      <c r="D737">
        <v>126</v>
      </c>
      <c r="E737">
        <v>160</v>
      </c>
      <c r="F737">
        <v>166</v>
      </c>
      <c r="G737">
        <v>435</v>
      </c>
      <c r="H737">
        <v>626</v>
      </c>
      <c r="I737" t="s">
        <v>1598</v>
      </c>
      <c r="J737" t="s">
        <v>220</v>
      </c>
      <c r="L737" t="s">
        <v>1599</v>
      </c>
      <c r="M737" t="s">
        <v>85</v>
      </c>
      <c r="O737" t="s">
        <v>14</v>
      </c>
      <c r="P737" t="s">
        <v>1600</v>
      </c>
      <c r="Q737" t="s">
        <v>1601</v>
      </c>
      <c r="R737">
        <v>2019</v>
      </c>
      <c r="S737" t="s">
        <v>1602</v>
      </c>
      <c r="U737" t="s">
        <v>1603</v>
      </c>
      <c r="V737" t="s">
        <v>1604</v>
      </c>
      <c r="W737" t="s">
        <v>170</v>
      </c>
      <c r="X737" t="s">
        <v>572</v>
      </c>
      <c r="Y737" t="s">
        <v>1605</v>
      </c>
      <c r="Z737" t="s">
        <v>1606</v>
      </c>
      <c r="AA737" t="s">
        <v>1607</v>
      </c>
      <c r="AB737" t="s">
        <v>1608</v>
      </c>
      <c r="AC737" t="s">
        <v>1609</v>
      </c>
      <c r="AD737" t="s">
        <v>132</v>
      </c>
      <c r="AE737" t="s">
        <v>316</v>
      </c>
      <c r="AF737" t="s">
        <v>260</v>
      </c>
      <c r="AG737" t="s">
        <v>261</v>
      </c>
      <c r="AH737" t="s">
        <v>262</v>
      </c>
      <c r="AI737" t="s">
        <v>134</v>
      </c>
      <c r="AJ737" t="s">
        <v>135</v>
      </c>
      <c r="AM737" t="s">
        <v>178</v>
      </c>
      <c r="AN737" t="s">
        <v>106</v>
      </c>
      <c r="AO737">
        <v>26.483499999999999</v>
      </c>
      <c r="AP737">
        <v>-82.011200000000002</v>
      </c>
      <c r="AQ737">
        <v>0</v>
      </c>
      <c r="AR737" t="s">
        <v>317</v>
      </c>
      <c r="AS737">
        <v>2017</v>
      </c>
      <c r="AW737" t="s">
        <v>264</v>
      </c>
      <c r="AY737" t="s">
        <v>134</v>
      </c>
      <c r="AZ737" t="s">
        <v>212</v>
      </c>
      <c r="BA737" t="s">
        <v>142</v>
      </c>
      <c r="BB737">
        <v>18</v>
      </c>
      <c r="BC737">
        <v>22</v>
      </c>
      <c r="BE737" t="s">
        <v>139</v>
      </c>
      <c r="BH737">
        <v>24</v>
      </c>
      <c r="BI737">
        <v>20</v>
      </c>
      <c r="BJ737">
        <v>6</v>
      </c>
      <c r="BK737">
        <v>1</v>
      </c>
      <c r="BN737">
        <v>30</v>
      </c>
      <c r="BP737">
        <v>12</v>
      </c>
      <c r="BU737" t="s">
        <v>1612</v>
      </c>
      <c r="BV737">
        <v>29.524360000000001</v>
      </c>
      <c r="BW737">
        <v>0.29582370000000002</v>
      </c>
      <c r="BX737">
        <v>120</v>
      </c>
      <c r="BY737">
        <v>31.212299999999999</v>
      </c>
      <c r="BZ737">
        <v>0.29582370000000002</v>
      </c>
      <c r="CA737">
        <v>120</v>
      </c>
      <c r="CB737" t="s">
        <v>215</v>
      </c>
      <c r="CC737" t="s">
        <v>1611</v>
      </c>
    </row>
    <row r="738" spans="1:81" x14ac:dyDescent="0.25">
      <c r="A738" t="s">
        <v>81</v>
      </c>
      <c r="B738">
        <v>737</v>
      </c>
      <c r="C738">
        <v>136</v>
      </c>
      <c r="D738">
        <v>126</v>
      </c>
      <c r="E738">
        <v>161</v>
      </c>
      <c r="F738">
        <v>167</v>
      </c>
      <c r="G738">
        <v>436</v>
      </c>
      <c r="H738">
        <v>627</v>
      </c>
      <c r="I738" t="s">
        <v>1598</v>
      </c>
      <c r="J738" t="s">
        <v>220</v>
      </c>
      <c r="L738" t="s">
        <v>1599</v>
      </c>
      <c r="M738" t="s">
        <v>85</v>
      </c>
      <c r="O738" t="s">
        <v>14</v>
      </c>
      <c r="P738" t="s">
        <v>1600</v>
      </c>
      <c r="Q738" t="s">
        <v>1601</v>
      </c>
      <c r="R738">
        <v>2019</v>
      </c>
      <c r="S738" t="s">
        <v>1602</v>
      </c>
      <c r="U738" t="s">
        <v>1603</v>
      </c>
      <c r="V738" t="s">
        <v>1604</v>
      </c>
      <c r="W738" t="s">
        <v>170</v>
      </c>
      <c r="X738" t="s">
        <v>572</v>
      </c>
      <c r="Y738" t="s">
        <v>1605</v>
      </c>
      <c r="Z738" t="s">
        <v>1606</v>
      </c>
      <c r="AA738" t="s">
        <v>1607</v>
      </c>
      <c r="AB738" t="s">
        <v>1608</v>
      </c>
      <c r="AC738" t="s">
        <v>1609</v>
      </c>
      <c r="AD738" t="s">
        <v>132</v>
      </c>
      <c r="AE738" t="s">
        <v>316</v>
      </c>
      <c r="AF738" t="s">
        <v>260</v>
      </c>
      <c r="AG738" t="s">
        <v>261</v>
      </c>
      <c r="AH738" t="s">
        <v>262</v>
      </c>
      <c r="AI738" t="s">
        <v>134</v>
      </c>
      <c r="AJ738" t="s">
        <v>135</v>
      </c>
      <c r="AM738" t="s">
        <v>178</v>
      </c>
      <c r="AN738" t="s">
        <v>106</v>
      </c>
      <c r="AO738">
        <v>26.940300000000001</v>
      </c>
      <c r="AP738">
        <v>-82.051000000000002</v>
      </c>
      <c r="AQ738">
        <v>0</v>
      </c>
      <c r="AR738" t="s">
        <v>317</v>
      </c>
      <c r="AS738">
        <v>2017</v>
      </c>
      <c r="AW738" t="s">
        <v>264</v>
      </c>
      <c r="AY738" t="s">
        <v>134</v>
      </c>
      <c r="AZ738" t="s">
        <v>212</v>
      </c>
      <c r="BA738" t="s">
        <v>142</v>
      </c>
      <c r="BB738">
        <v>18</v>
      </c>
      <c r="BC738">
        <v>22</v>
      </c>
      <c r="BE738" t="s">
        <v>139</v>
      </c>
      <c r="BH738">
        <v>24</v>
      </c>
      <c r="BI738">
        <v>20</v>
      </c>
      <c r="BJ738">
        <v>6</v>
      </c>
      <c r="BK738">
        <v>1</v>
      </c>
      <c r="BN738">
        <v>30</v>
      </c>
      <c r="BP738">
        <v>12</v>
      </c>
      <c r="BU738" t="s">
        <v>1613</v>
      </c>
      <c r="BV738">
        <v>29.245940000000001</v>
      </c>
      <c r="BW738">
        <v>0.50464039999999999</v>
      </c>
      <c r="BX738">
        <v>120</v>
      </c>
      <c r="BY738">
        <v>31.264500000000002</v>
      </c>
      <c r="BZ738">
        <v>0.50464039999999999</v>
      </c>
      <c r="CA738">
        <v>120</v>
      </c>
      <c r="CB738" t="s">
        <v>215</v>
      </c>
      <c r="CC738" t="s">
        <v>1611</v>
      </c>
    </row>
    <row r="739" spans="1:81" x14ac:dyDescent="0.25">
      <c r="A739" t="s">
        <v>81</v>
      </c>
      <c r="B739">
        <v>738</v>
      </c>
      <c r="C739">
        <v>136</v>
      </c>
      <c r="D739">
        <v>126</v>
      </c>
      <c r="E739">
        <v>162</v>
      </c>
      <c r="F739">
        <v>168</v>
      </c>
      <c r="G739">
        <v>437</v>
      </c>
      <c r="H739">
        <v>628</v>
      </c>
      <c r="I739" t="s">
        <v>1598</v>
      </c>
      <c r="J739" t="s">
        <v>220</v>
      </c>
      <c r="L739" t="s">
        <v>1599</v>
      </c>
      <c r="M739" t="s">
        <v>85</v>
      </c>
      <c r="O739" t="s">
        <v>14</v>
      </c>
      <c r="P739" t="s">
        <v>1600</v>
      </c>
      <c r="Q739" t="s">
        <v>1601</v>
      </c>
      <c r="R739">
        <v>2019</v>
      </c>
      <c r="S739" t="s">
        <v>1602</v>
      </c>
      <c r="U739" t="s">
        <v>1603</v>
      </c>
      <c r="V739" t="s">
        <v>1604</v>
      </c>
      <c r="W739" t="s">
        <v>170</v>
      </c>
      <c r="X739" t="s">
        <v>572</v>
      </c>
      <c r="Y739" t="s">
        <v>1605</v>
      </c>
      <c r="Z739" t="s">
        <v>1606</v>
      </c>
      <c r="AA739" t="s">
        <v>1607</v>
      </c>
      <c r="AB739" t="s">
        <v>1608</v>
      </c>
      <c r="AC739" t="s">
        <v>1609</v>
      </c>
      <c r="AD739" t="s">
        <v>132</v>
      </c>
      <c r="AE739" t="s">
        <v>316</v>
      </c>
      <c r="AF739" t="s">
        <v>260</v>
      </c>
      <c r="AG739" t="s">
        <v>261</v>
      </c>
      <c r="AH739" t="s">
        <v>262</v>
      </c>
      <c r="AI739" t="s">
        <v>134</v>
      </c>
      <c r="AJ739" t="s">
        <v>135</v>
      </c>
      <c r="AM739" t="s">
        <v>178</v>
      </c>
      <c r="AN739" t="s">
        <v>106</v>
      </c>
      <c r="AO739">
        <v>27.505600000000001</v>
      </c>
      <c r="AP739">
        <v>-82.572500000000005</v>
      </c>
      <c r="AQ739">
        <v>0</v>
      </c>
      <c r="AR739" t="s">
        <v>317</v>
      </c>
      <c r="AS739">
        <v>2017</v>
      </c>
      <c r="AW739" t="s">
        <v>264</v>
      </c>
      <c r="AY739" t="s">
        <v>134</v>
      </c>
      <c r="AZ739" t="s">
        <v>212</v>
      </c>
      <c r="BA739" t="s">
        <v>142</v>
      </c>
      <c r="BB739">
        <v>18</v>
      </c>
      <c r="BC739">
        <v>22</v>
      </c>
      <c r="BE739" t="s">
        <v>139</v>
      </c>
      <c r="BH739">
        <v>24</v>
      </c>
      <c r="BI739">
        <v>20</v>
      </c>
      <c r="BJ739">
        <v>6</v>
      </c>
      <c r="BK739">
        <v>1</v>
      </c>
      <c r="BN739">
        <v>30</v>
      </c>
      <c r="BP739">
        <v>12</v>
      </c>
      <c r="BU739" t="s">
        <v>1614</v>
      </c>
      <c r="BV739">
        <v>28.915310000000002</v>
      </c>
      <c r="BW739">
        <v>0.29582370000000002</v>
      </c>
      <c r="BX739">
        <v>120</v>
      </c>
      <c r="BY739">
        <v>30.18561</v>
      </c>
      <c r="BZ739">
        <v>0.29582370000000002</v>
      </c>
      <c r="CA739">
        <v>120</v>
      </c>
      <c r="CB739" t="s">
        <v>215</v>
      </c>
      <c r="CC739" t="s">
        <v>1611</v>
      </c>
    </row>
    <row r="740" spans="1:81" x14ac:dyDescent="0.25">
      <c r="A740" t="s">
        <v>81</v>
      </c>
      <c r="B740">
        <v>739</v>
      </c>
      <c r="C740">
        <v>136</v>
      </c>
      <c r="D740">
        <v>126</v>
      </c>
      <c r="E740">
        <v>163</v>
      </c>
      <c r="F740">
        <v>169</v>
      </c>
      <c r="G740">
        <v>438</v>
      </c>
      <c r="H740">
        <v>629</v>
      </c>
      <c r="I740" t="s">
        <v>1598</v>
      </c>
      <c r="J740" t="s">
        <v>220</v>
      </c>
      <c r="L740" t="s">
        <v>1599</v>
      </c>
      <c r="M740" t="s">
        <v>85</v>
      </c>
      <c r="O740" t="s">
        <v>14</v>
      </c>
      <c r="P740" t="s">
        <v>1600</v>
      </c>
      <c r="Q740" t="s">
        <v>1601</v>
      </c>
      <c r="R740">
        <v>2019</v>
      </c>
      <c r="S740" t="s">
        <v>1602</v>
      </c>
      <c r="U740" t="s">
        <v>1603</v>
      </c>
      <c r="V740" t="s">
        <v>1604</v>
      </c>
      <c r="W740" t="s">
        <v>170</v>
      </c>
      <c r="X740" t="s">
        <v>572</v>
      </c>
      <c r="Y740" t="s">
        <v>1605</v>
      </c>
      <c r="Z740" t="s">
        <v>1606</v>
      </c>
      <c r="AA740" t="s">
        <v>1607</v>
      </c>
      <c r="AB740" t="s">
        <v>1608</v>
      </c>
      <c r="AC740" t="s">
        <v>1609</v>
      </c>
      <c r="AD740" t="s">
        <v>132</v>
      </c>
      <c r="AE740" t="s">
        <v>316</v>
      </c>
      <c r="AF740" t="s">
        <v>260</v>
      </c>
      <c r="AG740" t="s">
        <v>261</v>
      </c>
      <c r="AH740" t="s">
        <v>262</v>
      </c>
      <c r="AI740" t="s">
        <v>134</v>
      </c>
      <c r="AJ740" t="s">
        <v>135</v>
      </c>
      <c r="AM740" t="s">
        <v>178</v>
      </c>
      <c r="AN740" t="s">
        <v>106</v>
      </c>
      <c r="AO740">
        <v>27.507300000000001</v>
      </c>
      <c r="AP740">
        <v>-82.667400000000001</v>
      </c>
      <c r="AQ740">
        <v>0</v>
      </c>
      <c r="AR740" t="s">
        <v>317</v>
      </c>
      <c r="AS740">
        <v>2017</v>
      </c>
      <c r="AW740" t="s">
        <v>264</v>
      </c>
      <c r="AY740" t="s">
        <v>134</v>
      </c>
      <c r="AZ740" t="s">
        <v>212</v>
      </c>
      <c r="BA740" t="s">
        <v>142</v>
      </c>
      <c r="BB740">
        <v>18</v>
      </c>
      <c r="BC740">
        <v>22</v>
      </c>
      <c r="BE740" t="s">
        <v>139</v>
      </c>
      <c r="BH740">
        <v>24</v>
      </c>
      <c r="BI740">
        <v>20</v>
      </c>
      <c r="BJ740">
        <v>6</v>
      </c>
      <c r="BK740">
        <v>1</v>
      </c>
      <c r="BN740">
        <v>30</v>
      </c>
      <c r="BP740">
        <v>12</v>
      </c>
      <c r="BU740" t="s">
        <v>1615</v>
      </c>
      <c r="BV740">
        <v>26.531320000000001</v>
      </c>
      <c r="BW740">
        <v>0.57424589999999998</v>
      </c>
      <c r="BX740">
        <v>120</v>
      </c>
      <c r="BY740">
        <v>29.646170000000001</v>
      </c>
      <c r="BZ740">
        <v>0.38283060000000002</v>
      </c>
      <c r="CA740">
        <v>120</v>
      </c>
      <c r="CB740" t="s">
        <v>215</v>
      </c>
      <c r="CC740" t="s">
        <v>1611</v>
      </c>
    </row>
    <row r="741" spans="1:81" x14ac:dyDescent="0.25">
      <c r="A741" t="s">
        <v>81</v>
      </c>
      <c r="B741">
        <v>740</v>
      </c>
      <c r="C741">
        <v>136</v>
      </c>
      <c r="D741">
        <v>126</v>
      </c>
      <c r="E741">
        <v>164</v>
      </c>
      <c r="F741">
        <v>170</v>
      </c>
      <c r="G741">
        <v>439</v>
      </c>
      <c r="H741">
        <v>630</v>
      </c>
      <c r="I741" t="s">
        <v>1598</v>
      </c>
      <c r="J741" t="s">
        <v>220</v>
      </c>
      <c r="L741" t="s">
        <v>1599</v>
      </c>
      <c r="M741" t="s">
        <v>85</v>
      </c>
      <c r="O741" t="s">
        <v>14</v>
      </c>
      <c r="P741" t="s">
        <v>1600</v>
      </c>
      <c r="Q741" t="s">
        <v>1601</v>
      </c>
      <c r="R741">
        <v>2019</v>
      </c>
      <c r="S741" t="s">
        <v>1602</v>
      </c>
      <c r="U741" t="s">
        <v>1603</v>
      </c>
      <c r="V741" t="s">
        <v>1604</v>
      </c>
      <c r="W741" t="s">
        <v>170</v>
      </c>
      <c r="X741" t="s">
        <v>572</v>
      </c>
      <c r="Y741" t="s">
        <v>1605</v>
      </c>
      <c r="Z741" t="s">
        <v>1606</v>
      </c>
      <c r="AA741" t="s">
        <v>1607</v>
      </c>
      <c r="AB741" t="s">
        <v>1608</v>
      </c>
      <c r="AC741" t="s">
        <v>1609</v>
      </c>
      <c r="AD741" t="s">
        <v>132</v>
      </c>
      <c r="AE741" t="s">
        <v>316</v>
      </c>
      <c r="AF741" t="s">
        <v>260</v>
      </c>
      <c r="AG741" t="s">
        <v>261</v>
      </c>
      <c r="AH741" t="s">
        <v>262</v>
      </c>
      <c r="AI741" t="s">
        <v>134</v>
      </c>
      <c r="AJ741" t="s">
        <v>135</v>
      </c>
      <c r="AM741" t="s">
        <v>178</v>
      </c>
      <c r="AN741" t="s">
        <v>106</v>
      </c>
      <c r="AO741">
        <v>29.037400000000002</v>
      </c>
      <c r="AP741">
        <v>-80.908500000000004</v>
      </c>
      <c r="AQ741">
        <v>0</v>
      </c>
      <c r="AR741" t="s">
        <v>317</v>
      </c>
      <c r="AS741">
        <v>2017</v>
      </c>
      <c r="AW741" t="s">
        <v>264</v>
      </c>
      <c r="AY741" t="s">
        <v>134</v>
      </c>
      <c r="AZ741" t="s">
        <v>212</v>
      </c>
      <c r="BA741" t="s">
        <v>142</v>
      </c>
      <c r="BB741">
        <v>18</v>
      </c>
      <c r="BC741">
        <v>22</v>
      </c>
      <c r="BE741" t="s">
        <v>139</v>
      </c>
      <c r="BH741">
        <v>24</v>
      </c>
      <c r="BI741">
        <v>20</v>
      </c>
      <c r="BJ741">
        <v>6</v>
      </c>
      <c r="BK741">
        <v>1</v>
      </c>
      <c r="BN741">
        <v>30</v>
      </c>
      <c r="BP741">
        <v>12</v>
      </c>
      <c r="BU741" t="s">
        <v>1616</v>
      </c>
      <c r="BV741">
        <v>26.49652</v>
      </c>
      <c r="BW741">
        <v>0.55684449999999996</v>
      </c>
      <c r="BX741">
        <v>120</v>
      </c>
      <c r="BY741">
        <v>30.133410000000001</v>
      </c>
      <c r="BZ741">
        <v>0.62645010000000001</v>
      </c>
      <c r="CA741">
        <v>120</v>
      </c>
      <c r="CB741" t="s">
        <v>215</v>
      </c>
      <c r="CC741" t="s">
        <v>1611</v>
      </c>
    </row>
    <row r="742" spans="1:81" x14ac:dyDescent="0.25">
      <c r="A742" t="s">
        <v>81</v>
      </c>
      <c r="B742">
        <v>741</v>
      </c>
      <c r="C742">
        <v>136</v>
      </c>
      <c r="D742">
        <v>126</v>
      </c>
      <c r="E742">
        <v>165</v>
      </c>
      <c r="F742">
        <v>171</v>
      </c>
      <c r="G742">
        <v>440</v>
      </c>
      <c r="H742">
        <v>631</v>
      </c>
      <c r="I742" t="s">
        <v>1598</v>
      </c>
      <c r="J742" t="s">
        <v>220</v>
      </c>
      <c r="L742" t="s">
        <v>1599</v>
      </c>
      <c r="M742" t="s">
        <v>85</v>
      </c>
      <c r="O742" t="s">
        <v>14</v>
      </c>
      <c r="P742" t="s">
        <v>1600</v>
      </c>
      <c r="Q742" t="s">
        <v>1601</v>
      </c>
      <c r="R742">
        <v>2019</v>
      </c>
      <c r="S742" t="s">
        <v>1602</v>
      </c>
      <c r="U742" t="s">
        <v>1603</v>
      </c>
      <c r="V742" t="s">
        <v>1604</v>
      </c>
      <c r="W742" t="s">
        <v>170</v>
      </c>
      <c r="X742" t="s">
        <v>572</v>
      </c>
      <c r="Y742" t="s">
        <v>1605</v>
      </c>
      <c r="Z742" t="s">
        <v>1606</v>
      </c>
      <c r="AA742" t="s">
        <v>1607</v>
      </c>
      <c r="AB742" t="s">
        <v>1608</v>
      </c>
      <c r="AC742" t="s">
        <v>1609</v>
      </c>
      <c r="AD742" t="s">
        <v>132</v>
      </c>
      <c r="AE742" t="s">
        <v>316</v>
      </c>
      <c r="AF742" t="s">
        <v>260</v>
      </c>
      <c r="AG742" t="s">
        <v>261</v>
      </c>
      <c r="AH742" t="s">
        <v>262</v>
      </c>
      <c r="AI742" t="s">
        <v>134</v>
      </c>
      <c r="AJ742" t="s">
        <v>135</v>
      </c>
      <c r="AM742" t="s">
        <v>178</v>
      </c>
      <c r="AN742" t="s">
        <v>106</v>
      </c>
      <c r="AO742">
        <v>41.320500000000003</v>
      </c>
      <c r="AP742">
        <v>-72.001599999999996</v>
      </c>
      <c r="AQ742">
        <v>0</v>
      </c>
      <c r="AR742" t="s">
        <v>317</v>
      </c>
      <c r="AS742">
        <v>2017</v>
      </c>
      <c r="AW742" t="s">
        <v>264</v>
      </c>
      <c r="AY742" t="s">
        <v>134</v>
      </c>
      <c r="AZ742" t="s">
        <v>212</v>
      </c>
      <c r="BA742" t="s">
        <v>142</v>
      </c>
      <c r="BB742">
        <v>18</v>
      </c>
      <c r="BC742">
        <v>22</v>
      </c>
      <c r="BE742" t="s">
        <v>139</v>
      </c>
      <c r="BH742">
        <v>24</v>
      </c>
      <c r="BI742">
        <v>20</v>
      </c>
      <c r="BJ742">
        <v>6</v>
      </c>
      <c r="BK742">
        <v>1</v>
      </c>
      <c r="BN742">
        <v>30</v>
      </c>
      <c r="BP742">
        <v>12</v>
      </c>
      <c r="BU742" t="s">
        <v>1617</v>
      </c>
      <c r="BV742">
        <v>25.904869999999999</v>
      </c>
      <c r="BW742">
        <v>0.41763339999999999</v>
      </c>
      <c r="BX742">
        <v>120</v>
      </c>
      <c r="BY742">
        <v>29.263339999999999</v>
      </c>
      <c r="BZ742">
        <v>0.40023199999999998</v>
      </c>
      <c r="CA742">
        <v>120</v>
      </c>
      <c r="CB742" t="s">
        <v>215</v>
      </c>
      <c r="CC742" t="s">
        <v>1611</v>
      </c>
    </row>
    <row r="743" spans="1:81" x14ac:dyDescent="0.25">
      <c r="A743" t="s">
        <v>81</v>
      </c>
      <c r="B743">
        <v>742</v>
      </c>
      <c r="C743">
        <v>136</v>
      </c>
      <c r="D743">
        <v>126</v>
      </c>
      <c r="E743">
        <v>166</v>
      </c>
      <c r="F743">
        <v>172</v>
      </c>
      <c r="G743">
        <v>441</v>
      </c>
      <c r="H743">
        <v>632</v>
      </c>
      <c r="I743" t="s">
        <v>1598</v>
      </c>
      <c r="J743" t="s">
        <v>220</v>
      </c>
      <c r="L743" t="s">
        <v>1599</v>
      </c>
      <c r="M743" t="s">
        <v>85</v>
      </c>
      <c r="O743" t="s">
        <v>14</v>
      </c>
      <c r="P743" t="s">
        <v>1600</v>
      </c>
      <c r="Q743" t="s">
        <v>1601</v>
      </c>
      <c r="R743">
        <v>2019</v>
      </c>
      <c r="S743" t="s">
        <v>1602</v>
      </c>
      <c r="U743" t="s">
        <v>1603</v>
      </c>
      <c r="V743" t="s">
        <v>1604</v>
      </c>
      <c r="W743" t="s">
        <v>170</v>
      </c>
      <c r="X743" t="s">
        <v>572</v>
      </c>
      <c r="Y743" t="s">
        <v>1605</v>
      </c>
      <c r="Z743" t="s">
        <v>1606</v>
      </c>
      <c r="AA743" t="s">
        <v>1607</v>
      </c>
      <c r="AB743" t="s">
        <v>1608</v>
      </c>
      <c r="AC743" t="s">
        <v>1609</v>
      </c>
      <c r="AD743" t="s">
        <v>132</v>
      </c>
      <c r="AE743" t="s">
        <v>316</v>
      </c>
      <c r="AF743" t="s">
        <v>260</v>
      </c>
      <c r="AG743" t="s">
        <v>261</v>
      </c>
      <c r="AH743" t="s">
        <v>262</v>
      </c>
      <c r="AI743" t="s">
        <v>134</v>
      </c>
      <c r="AJ743" t="s">
        <v>135</v>
      </c>
      <c r="AM743" t="s">
        <v>178</v>
      </c>
      <c r="AN743" t="s">
        <v>106</v>
      </c>
      <c r="AO743">
        <v>44.615000000000002</v>
      </c>
      <c r="AP743">
        <v>-67.497399999999999</v>
      </c>
      <c r="AQ743">
        <v>0</v>
      </c>
      <c r="AR743" t="s">
        <v>317</v>
      </c>
      <c r="AS743">
        <v>2017</v>
      </c>
      <c r="AW743" t="s">
        <v>264</v>
      </c>
      <c r="AY743" t="s">
        <v>134</v>
      </c>
      <c r="AZ743" t="s">
        <v>212</v>
      </c>
      <c r="BA743" t="s">
        <v>142</v>
      </c>
      <c r="BB743">
        <v>18</v>
      </c>
      <c r="BC743">
        <v>22</v>
      </c>
      <c r="BE743" t="s">
        <v>139</v>
      </c>
      <c r="BH743">
        <v>24</v>
      </c>
      <c r="BI743">
        <v>20</v>
      </c>
      <c r="BJ743">
        <v>6</v>
      </c>
      <c r="BK743">
        <v>1</v>
      </c>
      <c r="BN743">
        <v>30</v>
      </c>
      <c r="BP743">
        <v>12</v>
      </c>
      <c r="BU743" t="s">
        <v>1618</v>
      </c>
      <c r="BV743">
        <v>25.939679999999999</v>
      </c>
      <c r="BW743">
        <v>0.55684449999999996</v>
      </c>
      <c r="BX743">
        <v>120</v>
      </c>
      <c r="BY743">
        <v>29.21114</v>
      </c>
      <c r="BZ743">
        <v>0.50464039999999999</v>
      </c>
      <c r="CA743">
        <v>120</v>
      </c>
      <c r="CB743" t="s">
        <v>215</v>
      </c>
      <c r="CC743" t="s">
        <v>1611</v>
      </c>
    </row>
    <row r="744" spans="1:81" x14ac:dyDescent="0.25">
      <c r="A744" t="s">
        <v>81</v>
      </c>
      <c r="B744">
        <v>743</v>
      </c>
      <c r="C744">
        <v>136</v>
      </c>
      <c r="D744">
        <v>126</v>
      </c>
      <c r="E744">
        <v>167</v>
      </c>
      <c r="F744">
        <v>173</v>
      </c>
      <c r="G744">
        <v>442</v>
      </c>
      <c r="H744">
        <v>633</v>
      </c>
      <c r="I744" t="s">
        <v>1598</v>
      </c>
      <c r="J744" t="s">
        <v>220</v>
      </c>
      <c r="L744" t="s">
        <v>1599</v>
      </c>
      <c r="M744" t="s">
        <v>85</v>
      </c>
      <c r="O744" t="s">
        <v>14</v>
      </c>
      <c r="P744" t="s">
        <v>1600</v>
      </c>
      <c r="Q744" t="s">
        <v>1601</v>
      </c>
      <c r="R744">
        <v>2019</v>
      </c>
      <c r="S744" t="s">
        <v>1602</v>
      </c>
      <c r="U744" t="s">
        <v>1603</v>
      </c>
      <c r="V744" t="s">
        <v>1604</v>
      </c>
      <c r="W744" t="s">
        <v>170</v>
      </c>
      <c r="X744" t="s">
        <v>572</v>
      </c>
      <c r="Y744" t="s">
        <v>1605</v>
      </c>
      <c r="Z744" t="s">
        <v>1606</v>
      </c>
      <c r="AA744" t="s">
        <v>1607</v>
      </c>
      <c r="AB744" t="s">
        <v>1608</v>
      </c>
      <c r="AC744" t="s">
        <v>1609</v>
      </c>
      <c r="AD744" t="s">
        <v>132</v>
      </c>
      <c r="AE744" t="s">
        <v>316</v>
      </c>
      <c r="AF744" t="s">
        <v>260</v>
      </c>
      <c r="AG744" t="s">
        <v>261</v>
      </c>
      <c r="AH744" t="s">
        <v>262</v>
      </c>
      <c r="AI744" t="s">
        <v>134</v>
      </c>
      <c r="AJ744" t="s">
        <v>135</v>
      </c>
      <c r="AM744" t="s">
        <v>178</v>
      </c>
      <c r="AN744" t="s">
        <v>106</v>
      </c>
      <c r="AO744">
        <v>45.1</v>
      </c>
      <c r="AP744">
        <v>-67.055000000000007</v>
      </c>
      <c r="AQ744">
        <v>0</v>
      </c>
      <c r="AR744" t="s">
        <v>317</v>
      </c>
      <c r="AS744">
        <v>2017</v>
      </c>
      <c r="AW744" t="s">
        <v>264</v>
      </c>
      <c r="AY744" t="s">
        <v>134</v>
      </c>
      <c r="AZ744" t="s">
        <v>212</v>
      </c>
      <c r="BA744" t="s">
        <v>142</v>
      </c>
      <c r="BB744">
        <v>18</v>
      </c>
      <c r="BC744">
        <v>22</v>
      </c>
      <c r="BE744" t="s">
        <v>139</v>
      </c>
      <c r="BH744">
        <v>24</v>
      </c>
      <c r="BI744">
        <v>20</v>
      </c>
      <c r="BJ744">
        <v>6</v>
      </c>
      <c r="BK744">
        <v>1</v>
      </c>
      <c r="BN744">
        <v>30</v>
      </c>
      <c r="BP744">
        <v>12</v>
      </c>
      <c r="BU744" t="s">
        <v>1619</v>
      </c>
      <c r="BV744">
        <v>26.322510000000001</v>
      </c>
      <c r="BW744">
        <v>0.67865430000000004</v>
      </c>
      <c r="BX744">
        <v>120</v>
      </c>
      <c r="BY744">
        <v>30.51624</v>
      </c>
      <c r="BZ744">
        <v>0.27842230000000001</v>
      </c>
      <c r="CA744">
        <v>120</v>
      </c>
      <c r="CB744" t="s">
        <v>215</v>
      </c>
      <c r="CC744" t="s">
        <v>1611</v>
      </c>
    </row>
    <row r="745" spans="1:81" x14ac:dyDescent="0.25">
      <c r="A745" t="s">
        <v>81</v>
      </c>
      <c r="B745">
        <v>744</v>
      </c>
      <c r="C745">
        <v>136</v>
      </c>
      <c r="D745">
        <v>126</v>
      </c>
      <c r="E745">
        <v>168</v>
      </c>
      <c r="F745">
        <v>174</v>
      </c>
      <c r="G745">
        <v>443</v>
      </c>
      <c r="H745">
        <v>634</v>
      </c>
      <c r="I745" t="s">
        <v>1598</v>
      </c>
      <c r="J745" t="s">
        <v>220</v>
      </c>
      <c r="L745" t="s">
        <v>1599</v>
      </c>
      <c r="M745" t="s">
        <v>85</v>
      </c>
      <c r="O745" t="s">
        <v>14</v>
      </c>
      <c r="P745" t="s">
        <v>1600</v>
      </c>
      <c r="Q745" t="s">
        <v>1601</v>
      </c>
      <c r="R745">
        <v>2019</v>
      </c>
      <c r="S745" t="s">
        <v>1602</v>
      </c>
      <c r="U745" t="s">
        <v>1603</v>
      </c>
      <c r="V745" t="s">
        <v>1604</v>
      </c>
      <c r="W745" t="s">
        <v>170</v>
      </c>
      <c r="X745" t="s">
        <v>572</v>
      </c>
      <c r="Y745" t="s">
        <v>1605</v>
      </c>
      <c r="Z745" t="s">
        <v>1606</v>
      </c>
      <c r="AA745" t="s">
        <v>1607</v>
      </c>
      <c r="AB745" t="s">
        <v>1608</v>
      </c>
      <c r="AC745" t="s">
        <v>1609</v>
      </c>
      <c r="AD745" t="s">
        <v>132</v>
      </c>
      <c r="AE745" t="s">
        <v>316</v>
      </c>
      <c r="AF745" t="s">
        <v>260</v>
      </c>
      <c r="AG745" t="s">
        <v>261</v>
      </c>
      <c r="AH745" t="s">
        <v>262</v>
      </c>
      <c r="AI745" t="s">
        <v>134</v>
      </c>
      <c r="AJ745" t="s">
        <v>135</v>
      </c>
      <c r="AM745" t="s">
        <v>178</v>
      </c>
      <c r="AN745" t="s">
        <v>106</v>
      </c>
      <c r="AO745">
        <v>46.271999999999998</v>
      </c>
      <c r="AP745">
        <v>-64.575100000000006</v>
      </c>
      <c r="AQ745">
        <v>0</v>
      </c>
      <c r="AR745" t="s">
        <v>317</v>
      </c>
      <c r="AS745">
        <v>2017</v>
      </c>
      <c r="AW745" t="s">
        <v>264</v>
      </c>
      <c r="AY745" t="s">
        <v>134</v>
      </c>
      <c r="AZ745" t="s">
        <v>212</v>
      </c>
      <c r="BA745" t="s">
        <v>142</v>
      </c>
      <c r="BB745">
        <v>18</v>
      </c>
      <c r="BC745">
        <v>22</v>
      </c>
      <c r="BE745" t="s">
        <v>139</v>
      </c>
      <c r="BH745">
        <v>24</v>
      </c>
      <c r="BI745">
        <v>20</v>
      </c>
      <c r="BJ745">
        <v>6</v>
      </c>
      <c r="BK745">
        <v>1</v>
      </c>
      <c r="BN745">
        <v>30</v>
      </c>
      <c r="BP745">
        <v>12</v>
      </c>
      <c r="BU745" t="s">
        <v>1620</v>
      </c>
      <c r="BV745">
        <v>24.286539999999999</v>
      </c>
      <c r="BW745">
        <v>0.57424589999999998</v>
      </c>
      <c r="BX745">
        <v>120</v>
      </c>
      <c r="BY745">
        <v>30.377030000000001</v>
      </c>
      <c r="BZ745">
        <v>0.36542920000000001</v>
      </c>
      <c r="CA745">
        <v>120</v>
      </c>
      <c r="CB745" t="s">
        <v>215</v>
      </c>
      <c r="CC745" t="s">
        <v>1611</v>
      </c>
    </row>
    <row r="746" spans="1:81" x14ac:dyDescent="0.25">
      <c r="A746" t="s">
        <v>81</v>
      </c>
      <c r="B746">
        <v>745</v>
      </c>
      <c r="C746">
        <v>137</v>
      </c>
      <c r="D746">
        <v>126</v>
      </c>
      <c r="E746">
        <v>165</v>
      </c>
      <c r="F746">
        <v>175</v>
      </c>
      <c r="G746">
        <v>444</v>
      </c>
      <c r="H746">
        <v>635</v>
      </c>
      <c r="I746" t="s">
        <v>1621</v>
      </c>
      <c r="J746" t="s">
        <v>1622</v>
      </c>
      <c r="L746" t="s">
        <v>1623</v>
      </c>
      <c r="M746" t="s">
        <v>85</v>
      </c>
      <c r="O746" t="s">
        <v>14</v>
      </c>
      <c r="P746" t="s">
        <v>1624</v>
      </c>
      <c r="Q746" t="s">
        <v>1625</v>
      </c>
      <c r="R746">
        <v>2020</v>
      </c>
      <c r="S746" t="s">
        <v>1626</v>
      </c>
      <c r="U746" t="s">
        <v>1627</v>
      </c>
      <c r="V746" t="s">
        <v>1628</v>
      </c>
      <c r="W746" t="s">
        <v>170</v>
      </c>
      <c r="X746" t="s">
        <v>572</v>
      </c>
      <c r="Y746" t="s">
        <v>1605</v>
      </c>
      <c r="Z746" t="s">
        <v>1606</v>
      </c>
      <c r="AA746" t="s">
        <v>1607</v>
      </c>
      <c r="AB746" t="s">
        <v>1608</v>
      </c>
      <c r="AC746" t="s">
        <v>1609</v>
      </c>
      <c r="AD746" t="s">
        <v>132</v>
      </c>
      <c r="AE746" t="s">
        <v>316</v>
      </c>
      <c r="AF746" t="s">
        <v>260</v>
      </c>
      <c r="AG746" t="s">
        <v>261</v>
      </c>
      <c r="AH746" t="s">
        <v>262</v>
      </c>
      <c r="AI746" t="s">
        <v>134</v>
      </c>
      <c r="AJ746" t="s">
        <v>135</v>
      </c>
      <c r="AM746" t="s">
        <v>178</v>
      </c>
      <c r="AN746" t="s">
        <v>106</v>
      </c>
      <c r="AO746">
        <v>41.320500000000003</v>
      </c>
      <c r="AP746">
        <v>-72.001599999999996</v>
      </c>
      <c r="AQ746">
        <v>0</v>
      </c>
      <c r="AR746" t="s">
        <v>317</v>
      </c>
      <c r="AT746">
        <f>(0.8712963+0.81111111)/2</f>
        <v>0.84120370500000008</v>
      </c>
      <c r="AW746" t="s">
        <v>264</v>
      </c>
      <c r="AY746" t="s">
        <v>134</v>
      </c>
      <c r="AZ746" t="s">
        <v>212</v>
      </c>
      <c r="BA746" t="s">
        <v>142</v>
      </c>
      <c r="BB746">
        <v>18</v>
      </c>
      <c r="BC746">
        <v>24</v>
      </c>
      <c r="BE746" t="s">
        <v>139</v>
      </c>
      <c r="BH746">
        <v>24</v>
      </c>
      <c r="BI746">
        <v>6</v>
      </c>
      <c r="BJ746">
        <v>12</v>
      </c>
      <c r="BK746">
        <v>1</v>
      </c>
      <c r="BP746">
        <v>12</v>
      </c>
      <c r="BU746" t="s">
        <v>1629</v>
      </c>
      <c r="BV746">
        <v>31.08841</v>
      </c>
      <c r="BW746">
        <v>0.18074660000000001</v>
      </c>
      <c r="BX746">
        <v>72</v>
      </c>
      <c r="BY746">
        <v>31.827110000000001</v>
      </c>
      <c r="BZ746">
        <v>0.18074660000000001</v>
      </c>
      <c r="CA746">
        <v>72</v>
      </c>
      <c r="CB746" t="s">
        <v>215</v>
      </c>
      <c r="CC746" t="s">
        <v>1611</v>
      </c>
    </row>
    <row r="747" spans="1:81" x14ac:dyDescent="0.25">
      <c r="A747" t="s">
        <v>81</v>
      </c>
      <c r="B747">
        <v>746</v>
      </c>
      <c r="C747">
        <v>137</v>
      </c>
      <c r="D747">
        <v>126</v>
      </c>
      <c r="E747">
        <v>165</v>
      </c>
      <c r="F747">
        <v>176</v>
      </c>
      <c r="G747">
        <v>445</v>
      </c>
      <c r="H747">
        <v>636</v>
      </c>
      <c r="I747" t="s">
        <v>1621</v>
      </c>
      <c r="J747" t="s">
        <v>1622</v>
      </c>
      <c r="L747" t="s">
        <v>1623</v>
      </c>
      <c r="M747" t="s">
        <v>85</v>
      </c>
      <c r="O747" t="s">
        <v>14</v>
      </c>
      <c r="P747" t="s">
        <v>1624</v>
      </c>
      <c r="Q747" t="s">
        <v>1625</v>
      </c>
      <c r="R747">
        <v>2020</v>
      </c>
      <c r="S747" t="s">
        <v>1626</v>
      </c>
      <c r="U747" t="s">
        <v>1627</v>
      </c>
      <c r="V747" t="s">
        <v>1628</v>
      </c>
      <c r="W747" t="s">
        <v>170</v>
      </c>
      <c r="X747" t="s">
        <v>572</v>
      </c>
      <c r="Y747" t="s">
        <v>1605</v>
      </c>
      <c r="Z747" t="s">
        <v>1606</v>
      </c>
      <c r="AA747" t="s">
        <v>1607</v>
      </c>
      <c r="AB747" t="s">
        <v>1608</v>
      </c>
      <c r="AC747" t="s">
        <v>1609</v>
      </c>
      <c r="AD747" t="s">
        <v>132</v>
      </c>
      <c r="AE747" t="s">
        <v>316</v>
      </c>
      <c r="AF747" t="s">
        <v>260</v>
      </c>
      <c r="AG747" t="s">
        <v>261</v>
      </c>
      <c r="AH747" t="s">
        <v>262</v>
      </c>
      <c r="AI747" t="s">
        <v>134</v>
      </c>
      <c r="AJ747" t="s">
        <v>135</v>
      </c>
      <c r="AM747" t="s">
        <v>178</v>
      </c>
      <c r="AN747" t="s">
        <v>106</v>
      </c>
      <c r="AO747">
        <v>41.320500000000003</v>
      </c>
      <c r="AP747">
        <v>-72.001599999999996</v>
      </c>
      <c r="AQ747">
        <v>0</v>
      </c>
      <c r="AR747" t="s">
        <v>317</v>
      </c>
      <c r="AT747">
        <f>(0.81944444+0.76759259)/2</f>
        <v>0.79351851500000004</v>
      </c>
      <c r="AW747" t="s">
        <v>264</v>
      </c>
      <c r="AY747" t="s">
        <v>134</v>
      </c>
      <c r="AZ747" t="s">
        <v>212</v>
      </c>
      <c r="BA747" t="s">
        <v>142</v>
      </c>
      <c r="BB747">
        <v>18</v>
      </c>
      <c r="BC747">
        <v>24</v>
      </c>
      <c r="BE747" t="s">
        <v>139</v>
      </c>
      <c r="BH747">
        <v>24</v>
      </c>
      <c r="BI747">
        <v>6</v>
      </c>
      <c r="BJ747">
        <v>12</v>
      </c>
      <c r="BK747">
        <v>1</v>
      </c>
      <c r="BP747">
        <v>12</v>
      </c>
      <c r="BU747" t="s">
        <v>1630</v>
      </c>
      <c r="BV747">
        <v>31.622789999999998</v>
      </c>
      <c r="BW747">
        <v>0.17288799999999999</v>
      </c>
      <c r="BX747">
        <v>72</v>
      </c>
      <c r="BY747">
        <v>30.97053</v>
      </c>
      <c r="BZ747">
        <v>0.17288799999999999</v>
      </c>
      <c r="CA747">
        <v>72</v>
      </c>
      <c r="CB747" t="s">
        <v>215</v>
      </c>
      <c r="CC747" t="s">
        <v>1611</v>
      </c>
    </row>
    <row r="748" spans="1:81" x14ac:dyDescent="0.25">
      <c r="A748" t="s">
        <v>81</v>
      </c>
      <c r="B748">
        <v>747</v>
      </c>
      <c r="C748">
        <v>137</v>
      </c>
      <c r="D748">
        <v>126</v>
      </c>
      <c r="E748">
        <v>165</v>
      </c>
      <c r="F748">
        <v>177</v>
      </c>
      <c r="G748">
        <v>446</v>
      </c>
      <c r="H748">
        <v>637</v>
      </c>
      <c r="I748" t="s">
        <v>1621</v>
      </c>
      <c r="J748" t="s">
        <v>1622</v>
      </c>
      <c r="L748" t="s">
        <v>1623</v>
      </c>
      <c r="M748" t="s">
        <v>85</v>
      </c>
      <c r="O748" t="s">
        <v>14</v>
      </c>
      <c r="P748" t="s">
        <v>1624</v>
      </c>
      <c r="Q748" t="s">
        <v>1625</v>
      </c>
      <c r="R748">
        <v>2020</v>
      </c>
      <c r="S748" t="s">
        <v>1626</v>
      </c>
      <c r="U748" t="s">
        <v>1627</v>
      </c>
      <c r="V748" t="s">
        <v>1628</v>
      </c>
      <c r="W748" t="s">
        <v>170</v>
      </c>
      <c r="X748" t="s">
        <v>572</v>
      </c>
      <c r="Y748" t="s">
        <v>1605</v>
      </c>
      <c r="Z748" t="s">
        <v>1606</v>
      </c>
      <c r="AA748" t="s">
        <v>1607</v>
      </c>
      <c r="AB748" t="s">
        <v>1608</v>
      </c>
      <c r="AC748" t="s">
        <v>1609</v>
      </c>
      <c r="AD748" t="s">
        <v>132</v>
      </c>
      <c r="AE748" t="s">
        <v>316</v>
      </c>
      <c r="AF748" t="s">
        <v>260</v>
      </c>
      <c r="AG748" t="s">
        <v>261</v>
      </c>
      <c r="AH748" t="s">
        <v>262</v>
      </c>
      <c r="AI748" t="s">
        <v>134</v>
      </c>
      <c r="AJ748" t="s">
        <v>135</v>
      </c>
      <c r="AM748" t="s">
        <v>178</v>
      </c>
      <c r="AN748" t="s">
        <v>106</v>
      </c>
      <c r="AO748">
        <v>41.320500000000003</v>
      </c>
      <c r="AP748">
        <v>-72.001599999999996</v>
      </c>
      <c r="AQ748">
        <v>0</v>
      </c>
      <c r="AR748" t="s">
        <v>179</v>
      </c>
      <c r="AT748">
        <f>(0.93981481+0.84074074)/2</f>
        <v>0.89027777499999994</v>
      </c>
      <c r="AW748" t="s">
        <v>264</v>
      </c>
      <c r="AY748" t="s">
        <v>134</v>
      </c>
      <c r="AZ748" t="s">
        <v>212</v>
      </c>
      <c r="BA748" t="s">
        <v>142</v>
      </c>
      <c r="BB748">
        <v>18</v>
      </c>
      <c r="BC748">
        <v>24</v>
      </c>
      <c r="BE748" t="s">
        <v>139</v>
      </c>
      <c r="BH748">
        <v>24</v>
      </c>
      <c r="BI748">
        <v>6</v>
      </c>
      <c r="BJ748">
        <v>12</v>
      </c>
      <c r="BK748">
        <v>1</v>
      </c>
      <c r="BP748">
        <v>12</v>
      </c>
      <c r="BU748" t="s">
        <v>1631</v>
      </c>
      <c r="BV748">
        <v>28.039290000000001</v>
      </c>
      <c r="BW748">
        <v>0.18074660000000001</v>
      </c>
      <c r="BX748">
        <v>72</v>
      </c>
      <c r="BY748">
        <v>31.198429999999998</v>
      </c>
      <c r="BZ748">
        <v>0.22789780000000001</v>
      </c>
      <c r="CA748">
        <v>72</v>
      </c>
      <c r="CB748" t="s">
        <v>215</v>
      </c>
      <c r="CC748" t="s">
        <v>1611</v>
      </c>
    </row>
    <row r="749" spans="1:81" x14ac:dyDescent="0.25">
      <c r="A749" t="s">
        <v>81</v>
      </c>
      <c r="B749">
        <v>748</v>
      </c>
      <c r="C749">
        <v>137</v>
      </c>
      <c r="D749">
        <v>126</v>
      </c>
      <c r="E749">
        <v>165</v>
      </c>
      <c r="F749">
        <v>178</v>
      </c>
      <c r="G749">
        <v>447</v>
      </c>
      <c r="H749">
        <v>638</v>
      </c>
      <c r="I749" t="s">
        <v>1632</v>
      </c>
      <c r="J749" t="s">
        <v>1622</v>
      </c>
      <c r="L749" t="s">
        <v>1623</v>
      </c>
      <c r="M749" t="s">
        <v>85</v>
      </c>
      <c r="O749" t="s">
        <v>14</v>
      </c>
      <c r="P749" t="s">
        <v>1624</v>
      </c>
      <c r="Q749" t="s">
        <v>1625</v>
      </c>
      <c r="R749">
        <v>2020</v>
      </c>
      <c r="S749" t="s">
        <v>1626</v>
      </c>
      <c r="U749" t="s">
        <v>1627</v>
      </c>
      <c r="V749" t="s">
        <v>1628</v>
      </c>
      <c r="W749" t="s">
        <v>170</v>
      </c>
      <c r="X749" t="s">
        <v>572</v>
      </c>
      <c r="Y749" t="s">
        <v>1605</v>
      </c>
      <c r="Z749" t="s">
        <v>1606</v>
      </c>
      <c r="AA749" t="s">
        <v>1607</v>
      </c>
      <c r="AB749" t="s">
        <v>1608</v>
      </c>
      <c r="AC749" t="s">
        <v>1609</v>
      </c>
      <c r="AD749" t="s">
        <v>132</v>
      </c>
      <c r="AE749" t="s">
        <v>316</v>
      </c>
      <c r="AF749" t="s">
        <v>260</v>
      </c>
      <c r="AG749" t="s">
        <v>261</v>
      </c>
      <c r="AH749" t="s">
        <v>262</v>
      </c>
      <c r="AI749" t="s">
        <v>134</v>
      </c>
      <c r="AJ749" t="s">
        <v>135</v>
      </c>
      <c r="AM749" t="s">
        <v>178</v>
      </c>
      <c r="AN749" t="s">
        <v>106</v>
      </c>
      <c r="AO749">
        <v>41.320500000000003</v>
      </c>
      <c r="AP749">
        <v>-72.001599999999996</v>
      </c>
      <c r="AQ749">
        <v>0</v>
      </c>
      <c r="AR749" t="s">
        <v>179</v>
      </c>
      <c r="AT749">
        <f>(0.8712963+0.8287037)/2</f>
        <v>0.85000000000000009</v>
      </c>
      <c r="AW749" t="s">
        <v>264</v>
      </c>
      <c r="AY749" t="s">
        <v>134</v>
      </c>
      <c r="AZ749" t="s">
        <v>212</v>
      </c>
      <c r="BA749" t="s">
        <v>142</v>
      </c>
      <c r="BB749">
        <v>18</v>
      </c>
      <c r="BC749">
        <v>24</v>
      </c>
      <c r="BE749" t="s">
        <v>139</v>
      </c>
      <c r="BH749">
        <v>24</v>
      </c>
      <c r="BI749">
        <v>6</v>
      </c>
      <c r="BJ749">
        <v>12</v>
      </c>
      <c r="BK749">
        <v>1</v>
      </c>
      <c r="BP749">
        <v>12</v>
      </c>
      <c r="BU749" t="s">
        <v>1633</v>
      </c>
      <c r="BV749">
        <v>28.762280000000001</v>
      </c>
      <c r="BW749">
        <v>0.35363460000000002</v>
      </c>
      <c r="BX749">
        <v>72</v>
      </c>
      <c r="BY749">
        <v>31.976420000000001</v>
      </c>
      <c r="BZ749">
        <v>0.25147350000000002</v>
      </c>
      <c r="CA749">
        <v>72</v>
      </c>
      <c r="CB749" t="s">
        <v>215</v>
      </c>
      <c r="CC749" t="s">
        <v>1611</v>
      </c>
    </row>
    <row r="750" spans="1:81" x14ac:dyDescent="0.25">
      <c r="A750" t="s">
        <v>81</v>
      </c>
      <c r="B750">
        <v>749</v>
      </c>
      <c r="C750">
        <v>137</v>
      </c>
      <c r="D750">
        <v>126</v>
      </c>
      <c r="E750">
        <v>165</v>
      </c>
      <c r="F750">
        <v>179</v>
      </c>
      <c r="G750">
        <v>448</v>
      </c>
      <c r="H750">
        <v>639</v>
      </c>
      <c r="I750" t="s">
        <v>1632</v>
      </c>
      <c r="J750" t="s">
        <v>1622</v>
      </c>
      <c r="L750" t="s">
        <v>1623</v>
      </c>
      <c r="M750" t="s">
        <v>85</v>
      </c>
      <c r="O750" t="s">
        <v>14</v>
      </c>
      <c r="P750" t="s">
        <v>1624</v>
      </c>
      <c r="Q750" t="s">
        <v>1625</v>
      </c>
      <c r="R750">
        <v>2020</v>
      </c>
      <c r="S750" t="s">
        <v>1626</v>
      </c>
      <c r="U750" t="s">
        <v>1627</v>
      </c>
      <c r="V750" t="s">
        <v>1628</v>
      </c>
      <c r="W750" t="s">
        <v>170</v>
      </c>
      <c r="X750" t="s">
        <v>572</v>
      </c>
      <c r="Y750" t="s">
        <v>1605</v>
      </c>
      <c r="Z750" t="s">
        <v>1606</v>
      </c>
      <c r="AA750" t="s">
        <v>1607</v>
      </c>
      <c r="AB750" t="s">
        <v>1608</v>
      </c>
      <c r="AC750" t="s">
        <v>1609</v>
      </c>
      <c r="AD750" t="s">
        <v>132</v>
      </c>
      <c r="AE750" t="s">
        <v>316</v>
      </c>
      <c r="AF750" t="s">
        <v>260</v>
      </c>
      <c r="AG750" t="s">
        <v>261</v>
      </c>
      <c r="AH750" t="s">
        <v>262</v>
      </c>
      <c r="AI750" t="s">
        <v>134</v>
      </c>
      <c r="AJ750" t="s">
        <v>135</v>
      </c>
      <c r="AM750" t="s">
        <v>178</v>
      </c>
      <c r="AN750" t="s">
        <v>106</v>
      </c>
      <c r="AO750">
        <v>41.320500000000003</v>
      </c>
      <c r="AP750">
        <v>-72.001599999999996</v>
      </c>
      <c r="AQ750">
        <v>0</v>
      </c>
      <c r="AR750" t="s">
        <v>179</v>
      </c>
      <c r="AT750">
        <f>(0.90740741+0.91388889)/2</f>
        <v>0.91064814999999999</v>
      </c>
      <c r="AW750" t="s">
        <v>264</v>
      </c>
      <c r="AY750" t="s">
        <v>134</v>
      </c>
      <c r="AZ750" t="s">
        <v>212</v>
      </c>
      <c r="BA750" t="s">
        <v>142</v>
      </c>
      <c r="BB750">
        <v>18</v>
      </c>
      <c r="BC750">
        <v>24</v>
      </c>
      <c r="BE750" t="s">
        <v>139</v>
      </c>
      <c r="BH750">
        <v>24</v>
      </c>
      <c r="BI750">
        <v>6</v>
      </c>
      <c r="BJ750">
        <v>12</v>
      </c>
      <c r="BK750">
        <v>1</v>
      </c>
      <c r="BP750">
        <v>12</v>
      </c>
      <c r="BU750" t="s">
        <v>1634</v>
      </c>
      <c r="BV750">
        <v>28.39293</v>
      </c>
      <c r="BW750">
        <v>0.25147350000000002</v>
      </c>
      <c r="BX750">
        <v>72</v>
      </c>
      <c r="BY750">
        <v>31.827110000000001</v>
      </c>
      <c r="BZ750">
        <v>0.2671906</v>
      </c>
      <c r="CA750">
        <v>72</v>
      </c>
      <c r="CB750" t="s">
        <v>215</v>
      </c>
      <c r="CC750" t="s">
        <v>1611</v>
      </c>
    </row>
    <row r="751" spans="1:81" x14ac:dyDescent="0.25">
      <c r="A751" t="s">
        <v>81</v>
      </c>
      <c r="B751">
        <v>750</v>
      </c>
      <c r="C751">
        <v>138</v>
      </c>
      <c r="D751">
        <v>126</v>
      </c>
      <c r="E751">
        <v>165</v>
      </c>
      <c r="F751">
        <v>171</v>
      </c>
      <c r="G751">
        <v>449</v>
      </c>
      <c r="H751">
        <v>640</v>
      </c>
      <c r="I751" t="s">
        <v>1632</v>
      </c>
      <c r="J751" t="s">
        <v>220</v>
      </c>
      <c r="L751" t="s">
        <v>1635</v>
      </c>
      <c r="M751" t="s">
        <v>85</v>
      </c>
      <c r="O751" t="s">
        <v>14</v>
      </c>
      <c r="P751" t="s">
        <v>1636</v>
      </c>
      <c r="Q751" t="s">
        <v>1637</v>
      </c>
      <c r="R751">
        <v>2019</v>
      </c>
      <c r="S751" t="s">
        <v>1638</v>
      </c>
      <c r="U751" t="s">
        <v>1639</v>
      </c>
      <c r="V751" t="s">
        <v>1640</v>
      </c>
      <c r="W751" t="s">
        <v>170</v>
      </c>
      <c r="X751" t="s">
        <v>572</v>
      </c>
      <c r="Y751" t="s">
        <v>1605</v>
      </c>
      <c r="Z751" t="s">
        <v>1606</v>
      </c>
      <c r="AA751" t="s">
        <v>1607</v>
      </c>
      <c r="AB751" t="s">
        <v>1608</v>
      </c>
      <c r="AC751" t="s">
        <v>1609</v>
      </c>
      <c r="AD751" t="s">
        <v>132</v>
      </c>
      <c r="AE751" t="s">
        <v>316</v>
      </c>
      <c r="AF751" t="s">
        <v>260</v>
      </c>
      <c r="AG751" t="s">
        <v>261</v>
      </c>
      <c r="AH751" t="s">
        <v>262</v>
      </c>
      <c r="AI751" t="s">
        <v>134</v>
      </c>
      <c r="AJ751" t="s">
        <v>135</v>
      </c>
      <c r="AM751" t="s">
        <v>178</v>
      </c>
      <c r="AN751" t="s">
        <v>106</v>
      </c>
      <c r="AO751">
        <v>41.320500000000003</v>
      </c>
      <c r="AP751">
        <v>-72.001599999999996</v>
      </c>
      <c r="AQ751">
        <v>0</v>
      </c>
      <c r="AR751" t="s">
        <v>317</v>
      </c>
      <c r="AS751">
        <v>2017</v>
      </c>
      <c r="AW751" t="s">
        <v>264</v>
      </c>
      <c r="AY751" t="s">
        <v>134</v>
      </c>
      <c r="AZ751" t="s">
        <v>212</v>
      </c>
      <c r="BA751" t="s">
        <v>142</v>
      </c>
      <c r="BB751">
        <v>18</v>
      </c>
      <c r="BC751">
        <v>22</v>
      </c>
      <c r="BE751" t="s">
        <v>139</v>
      </c>
      <c r="BH751">
        <v>24</v>
      </c>
      <c r="BI751">
        <v>20</v>
      </c>
      <c r="BJ751">
        <v>18</v>
      </c>
      <c r="BK751">
        <v>1</v>
      </c>
      <c r="BN751">
        <v>30</v>
      </c>
      <c r="BP751">
        <v>12</v>
      </c>
      <c r="BS751" t="s">
        <v>1641</v>
      </c>
      <c r="BU751" t="s">
        <v>1642</v>
      </c>
      <c r="BV751">
        <v>30.227270000000001</v>
      </c>
      <c r="BW751">
        <v>0.38636359999999997</v>
      </c>
      <c r="BX751">
        <v>360</v>
      </c>
      <c r="BY751">
        <v>31.56061</v>
      </c>
      <c r="BZ751">
        <v>0.4166667</v>
      </c>
      <c r="CA751">
        <v>360</v>
      </c>
      <c r="CB751" t="s">
        <v>215</v>
      </c>
      <c r="CC751" t="s">
        <v>1611</v>
      </c>
    </row>
    <row r="752" spans="1:81" x14ac:dyDescent="0.25">
      <c r="A752" t="s">
        <v>81</v>
      </c>
      <c r="B752">
        <v>751</v>
      </c>
      <c r="C752">
        <v>138</v>
      </c>
      <c r="D752">
        <v>126</v>
      </c>
      <c r="E752">
        <v>165</v>
      </c>
      <c r="F752">
        <v>171</v>
      </c>
      <c r="G752">
        <v>450</v>
      </c>
      <c r="H752">
        <v>641</v>
      </c>
      <c r="I752" t="s">
        <v>1632</v>
      </c>
      <c r="J752" t="s">
        <v>220</v>
      </c>
      <c r="L752" t="s">
        <v>1635</v>
      </c>
      <c r="M752" t="s">
        <v>85</v>
      </c>
      <c r="O752" t="s">
        <v>14</v>
      </c>
      <c r="P752" t="s">
        <v>1636</v>
      </c>
      <c r="Q752" t="s">
        <v>1637</v>
      </c>
      <c r="R752">
        <v>2019</v>
      </c>
      <c r="S752" t="s">
        <v>1638</v>
      </c>
      <c r="U752" t="s">
        <v>1639</v>
      </c>
      <c r="V752" t="s">
        <v>1640</v>
      </c>
      <c r="W752" t="s">
        <v>170</v>
      </c>
      <c r="X752" t="s">
        <v>572</v>
      </c>
      <c r="Y752" t="s">
        <v>1605</v>
      </c>
      <c r="Z752" t="s">
        <v>1606</v>
      </c>
      <c r="AA752" t="s">
        <v>1607</v>
      </c>
      <c r="AB752" t="s">
        <v>1608</v>
      </c>
      <c r="AC752" t="s">
        <v>1609</v>
      </c>
      <c r="AD752" t="s">
        <v>132</v>
      </c>
      <c r="AE752" t="s">
        <v>316</v>
      </c>
      <c r="AF752" t="s">
        <v>260</v>
      </c>
      <c r="AG752" t="s">
        <v>261</v>
      </c>
      <c r="AH752" t="s">
        <v>262</v>
      </c>
      <c r="AI752" t="s">
        <v>134</v>
      </c>
      <c r="AJ752" t="s">
        <v>135</v>
      </c>
      <c r="AM752" t="s">
        <v>178</v>
      </c>
      <c r="AN752" t="s">
        <v>106</v>
      </c>
      <c r="AO752">
        <v>41.320500000000003</v>
      </c>
      <c r="AP752">
        <v>-72.001599999999996</v>
      </c>
      <c r="AQ752">
        <v>0</v>
      </c>
      <c r="AR752" t="s">
        <v>317</v>
      </c>
      <c r="AS752">
        <v>2017</v>
      </c>
      <c r="AW752" t="s">
        <v>269</v>
      </c>
      <c r="AY752" t="s">
        <v>134</v>
      </c>
      <c r="AZ752" t="s">
        <v>212</v>
      </c>
      <c r="BA752" t="s">
        <v>142</v>
      </c>
      <c r="BB752">
        <v>18</v>
      </c>
      <c r="BC752">
        <v>22</v>
      </c>
      <c r="BE752" t="s">
        <v>139</v>
      </c>
      <c r="BH752">
        <v>24</v>
      </c>
      <c r="BI752">
        <v>20</v>
      </c>
      <c r="BJ752">
        <v>18</v>
      </c>
      <c r="BK752">
        <v>1</v>
      </c>
      <c r="BN752">
        <v>30</v>
      </c>
      <c r="BP752">
        <v>12</v>
      </c>
      <c r="BS752" t="s">
        <v>1641</v>
      </c>
      <c r="BU752" t="s">
        <v>1643</v>
      </c>
      <c r="BV752">
        <v>27.856059999999999</v>
      </c>
      <c r="BW752">
        <v>0.4393939</v>
      </c>
      <c r="BX752">
        <v>360</v>
      </c>
      <c r="BY752">
        <v>29.287880000000001</v>
      </c>
      <c r="BZ752">
        <v>0.37121209999999999</v>
      </c>
      <c r="CA752">
        <v>360</v>
      </c>
      <c r="CB752" t="s">
        <v>215</v>
      </c>
      <c r="CC752" t="s">
        <v>1611</v>
      </c>
    </row>
    <row r="753" spans="1:81" x14ac:dyDescent="0.25">
      <c r="A753" t="s">
        <v>81</v>
      </c>
      <c r="B753">
        <v>752</v>
      </c>
      <c r="C753">
        <v>138</v>
      </c>
      <c r="D753">
        <v>126</v>
      </c>
      <c r="E753">
        <v>161</v>
      </c>
      <c r="F753">
        <v>167</v>
      </c>
      <c r="G753">
        <v>451</v>
      </c>
      <c r="H753">
        <v>642</v>
      </c>
      <c r="I753" t="s">
        <v>1644</v>
      </c>
      <c r="J753" t="s">
        <v>220</v>
      </c>
      <c r="L753" t="s">
        <v>1635</v>
      </c>
      <c r="M753" t="s">
        <v>85</v>
      </c>
      <c r="O753" t="s">
        <v>14</v>
      </c>
      <c r="P753" t="s">
        <v>1636</v>
      </c>
      <c r="Q753" t="s">
        <v>1637</v>
      </c>
      <c r="R753">
        <v>2019</v>
      </c>
      <c r="S753" t="s">
        <v>1638</v>
      </c>
      <c r="U753" t="s">
        <v>1639</v>
      </c>
      <c r="V753" t="s">
        <v>1640</v>
      </c>
      <c r="W753" t="s">
        <v>170</v>
      </c>
      <c r="X753" t="s">
        <v>572</v>
      </c>
      <c r="Y753" t="s">
        <v>1605</v>
      </c>
      <c r="Z753" t="s">
        <v>1606</v>
      </c>
      <c r="AA753" t="s">
        <v>1607</v>
      </c>
      <c r="AB753" t="s">
        <v>1608</v>
      </c>
      <c r="AC753" t="s">
        <v>1609</v>
      </c>
      <c r="AD753" t="s">
        <v>132</v>
      </c>
      <c r="AE753" t="s">
        <v>316</v>
      </c>
      <c r="AF753" t="s">
        <v>260</v>
      </c>
      <c r="AG753" t="s">
        <v>261</v>
      </c>
      <c r="AH753" t="s">
        <v>262</v>
      </c>
      <c r="AI753" t="s">
        <v>134</v>
      </c>
      <c r="AJ753" t="s">
        <v>135</v>
      </c>
      <c r="AM753" t="s">
        <v>178</v>
      </c>
      <c r="AN753" t="s">
        <v>106</v>
      </c>
      <c r="AO753">
        <v>26.940300000000001</v>
      </c>
      <c r="AP753">
        <v>-82.051000000000002</v>
      </c>
      <c r="AQ753">
        <v>0</v>
      </c>
      <c r="AR753" t="s">
        <v>317</v>
      </c>
      <c r="AS753">
        <v>2017</v>
      </c>
      <c r="AW753" t="s">
        <v>264</v>
      </c>
      <c r="AY753" t="s">
        <v>134</v>
      </c>
      <c r="AZ753" t="s">
        <v>212</v>
      </c>
      <c r="BA753" t="s">
        <v>142</v>
      </c>
      <c r="BB753">
        <v>18</v>
      </c>
      <c r="BC753">
        <v>22</v>
      </c>
      <c r="BE753" t="s">
        <v>139</v>
      </c>
      <c r="BH753">
        <v>24</v>
      </c>
      <c r="BI753">
        <v>20</v>
      </c>
      <c r="BJ753">
        <v>24</v>
      </c>
      <c r="BK753">
        <v>1</v>
      </c>
      <c r="BN753">
        <v>30</v>
      </c>
      <c r="BP753">
        <v>12</v>
      </c>
      <c r="BS753" t="s">
        <v>1641</v>
      </c>
      <c r="BU753" t="s">
        <v>1645</v>
      </c>
      <c r="BV753">
        <v>31.484850000000002</v>
      </c>
      <c r="BW753">
        <v>0.38636359999999997</v>
      </c>
      <c r="BX753">
        <v>480</v>
      </c>
      <c r="BY753">
        <v>31.628789999999999</v>
      </c>
      <c r="BZ753">
        <v>0.22727269999999999</v>
      </c>
      <c r="CA753">
        <v>480</v>
      </c>
      <c r="CB753" t="s">
        <v>215</v>
      </c>
      <c r="CC753" t="s">
        <v>1611</v>
      </c>
    </row>
    <row r="754" spans="1:81" x14ac:dyDescent="0.25">
      <c r="A754" t="s">
        <v>81</v>
      </c>
      <c r="B754">
        <v>753</v>
      </c>
      <c r="C754">
        <v>138</v>
      </c>
      <c r="D754">
        <v>126</v>
      </c>
      <c r="E754">
        <v>161</v>
      </c>
      <c r="F754">
        <v>167</v>
      </c>
      <c r="G754">
        <v>452</v>
      </c>
      <c r="H754">
        <v>643</v>
      </c>
      <c r="I754" t="s">
        <v>1644</v>
      </c>
      <c r="J754" t="s">
        <v>220</v>
      </c>
      <c r="L754" t="s">
        <v>1635</v>
      </c>
      <c r="M754" t="s">
        <v>85</v>
      </c>
      <c r="O754" t="s">
        <v>14</v>
      </c>
      <c r="P754" t="s">
        <v>1636</v>
      </c>
      <c r="Q754" t="s">
        <v>1637</v>
      </c>
      <c r="R754">
        <v>2019</v>
      </c>
      <c r="S754" t="s">
        <v>1638</v>
      </c>
      <c r="U754" t="s">
        <v>1639</v>
      </c>
      <c r="V754" t="s">
        <v>1640</v>
      </c>
      <c r="W754" t="s">
        <v>170</v>
      </c>
      <c r="X754" t="s">
        <v>572</v>
      </c>
      <c r="Y754" t="s">
        <v>1605</v>
      </c>
      <c r="Z754" t="s">
        <v>1606</v>
      </c>
      <c r="AA754" t="s">
        <v>1607</v>
      </c>
      <c r="AB754" t="s">
        <v>1608</v>
      </c>
      <c r="AC754" t="s">
        <v>1609</v>
      </c>
      <c r="AD754" t="s">
        <v>132</v>
      </c>
      <c r="AE754" t="s">
        <v>316</v>
      </c>
      <c r="AF754" t="s">
        <v>260</v>
      </c>
      <c r="AG754" t="s">
        <v>261</v>
      </c>
      <c r="AH754" t="s">
        <v>262</v>
      </c>
      <c r="AI754" t="s">
        <v>134</v>
      </c>
      <c r="AJ754" t="s">
        <v>135</v>
      </c>
      <c r="AM754" t="s">
        <v>178</v>
      </c>
      <c r="AN754" t="s">
        <v>106</v>
      </c>
      <c r="AO754">
        <v>26.940300000000001</v>
      </c>
      <c r="AP754">
        <v>-82.051000000000002</v>
      </c>
      <c r="AQ754">
        <v>0</v>
      </c>
      <c r="AR754" t="s">
        <v>317</v>
      </c>
      <c r="AS754">
        <v>2017</v>
      </c>
      <c r="AW754" t="s">
        <v>269</v>
      </c>
      <c r="AY754" t="s">
        <v>134</v>
      </c>
      <c r="AZ754" t="s">
        <v>212</v>
      </c>
      <c r="BA754" t="s">
        <v>142</v>
      </c>
      <c r="BB754">
        <v>18</v>
      </c>
      <c r="BC754">
        <v>22</v>
      </c>
      <c r="BE754" t="s">
        <v>139</v>
      </c>
      <c r="BH754">
        <v>24</v>
      </c>
      <c r="BI754">
        <v>20</v>
      </c>
      <c r="BJ754">
        <v>24</v>
      </c>
      <c r="BK754">
        <v>1</v>
      </c>
      <c r="BN754">
        <v>30</v>
      </c>
      <c r="BP754">
        <v>12</v>
      </c>
      <c r="BS754" t="s">
        <v>1641</v>
      </c>
      <c r="BU754" t="s">
        <v>1646</v>
      </c>
      <c r="BV754">
        <v>30.045449999999999</v>
      </c>
      <c r="BW754">
        <v>0.29545450000000001</v>
      </c>
      <c r="BX754">
        <v>480</v>
      </c>
      <c r="BY754">
        <v>30.18939</v>
      </c>
      <c r="BZ754">
        <v>0.3106061</v>
      </c>
      <c r="CA754">
        <v>480</v>
      </c>
      <c r="CB754" t="s">
        <v>215</v>
      </c>
      <c r="CC754" t="s">
        <v>1611</v>
      </c>
    </row>
    <row r="755" spans="1:81" x14ac:dyDescent="0.25">
      <c r="A755" t="s">
        <v>81</v>
      </c>
      <c r="B755">
        <v>754</v>
      </c>
      <c r="C755">
        <v>139</v>
      </c>
      <c r="D755">
        <v>127</v>
      </c>
      <c r="E755">
        <v>169</v>
      </c>
      <c r="F755">
        <v>180</v>
      </c>
      <c r="G755">
        <v>453</v>
      </c>
      <c r="H755">
        <v>644</v>
      </c>
      <c r="I755" t="s">
        <v>490</v>
      </c>
      <c r="J755" t="s">
        <v>1647</v>
      </c>
      <c r="M755" t="s">
        <v>85</v>
      </c>
      <c r="O755" t="s">
        <v>14</v>
      </c>
      <c r="P755" t="s">
        <v>1648</v>
      </c>
      <c r="Q755" t="s">
        <v>1649</v>
      </c>
      <c r="R755">
        <v>2019</v>
      </c>
      <c r="S755" t="s">
        <v>1650</v>
      </c>
      <c r="U755" t="s">
        <v>1651</v>
      </c>
      <c r="V755" t="s">
        <v>1652</v>
      </c>
      <c r="W755" t="s">
        <v>170</v>
      </c>
      <c r="X755" t="s">
        <v>171</v>
      </c>
      <c r="Y755" t="s">
        <v>1006</v>
      </c>
      <c r="Z755" t="s">
        <v>1455</v>
      </c>
      <c r="AA755" t="s">
        <v>1653</v>
      </c>
      <c r="AB755" t="s">
        <v>1654</v>
      </c>
      <c r="AC755" t="s">
        <v>1655</v>
      </c>
      <c r="AD755" t="s">
        <v>98</v>
      </c>
      <c r="AE755" t="s">
        <v>177</v>
      </c>
      <c r="AF755" t="s">
        <v>100</v>
      </c>
      <c r="AG755" t="s">
        <v>102</v>
      </c>
      <c r="AH755" t="s">
        <v>262</v>
      </c>
      <c r="AI755" t="s">
        <v>103</v>
      </c>
      <c r="AJ755" t="s">
        <v>135</v>
      </c>
      <c r="AK755">
        <v>4</v>
      </c>
      <c r="AL755">
        <v>25</v>
      </c>
      <c r="AM755" t="s">
        <v>229</v>
      </c>
      <c r="AN755" t="s">
        <v>106</v>
      </c>
      <c r="AT755">
        <f>(2.1999179+2.17704635)/2</f>
        <v>2.1884821250000002</v>
      </c>
      <c r="AV755">
        <v>4</v>
      </c>
      <c r="AW755" t="s">
        <v>269</v>
      </c>
      <c r="AX755">
        <v>25</v>
      </c>
      <c r="AY755" t="s">
        <v>103</v>
      </c>
      <c r="AZ755" t="s">
        <v>212</v>
      </c>
      <c r="BA755" t="s">
        <v>142</v>
      </c>
      <c r="BB755">
        <v>15</v>
      </c>
      <c r="BC755">
        <v>20</v>
      </c>
      <c r="BE755" t="s">
        <v>139</v>
      </c>
      <c r="BH755">
        <v>4</v>
      </c>
      <c r="BI755">
        <v>5</v>
      </c>
      <c r="BJ755">
        <v>3</v>
      </c>
      <c r="BK755">
        <f t="shared" ref="BK755:BK761" si="35">(15+20)/2</f>
        <v>17.5</v>
      </c>
      <c r="BL755">
        <f t="shared" ref="BL755:BL761" si="36">(75+65)/2</f>
        <v>70</v>
      </c>
      <c r="BP755">
        <v>12</v>
      </c>
      <c r="BT755" t="s">
        <v>452</v>
      </c>
      <c r="BU755" t="s">
        <v>1656</v>
      </c>
      <c r="BV755">
        <v>30.42</v>
      </c>
      <c r="BW755" t="s">
        <v>454</v>
      </c>
      <c r="BX755">
        <v>15</v>
      </c>
      <c r="BY755">
        <v>36.44</v>
      </c>
      <c r="BZ755">
        <v>1.127551</v>
      </c>
      <c r="CA755">
        <v>15</v>
      </c>
      <c r="CB755" t="s">
        <v>215</v>
      </c>
      <c r="CC755" t="s">
        <v>1368</v>
      </c>
    </row>
    <row r="756" spans="1:81" x14ac:dyDescent="0.25">
      <c r="A756" t="s">
        <v>81</v>
      </c>
      <c r="B756">
        <v>755</v>
      </c>
      <c r="C756">
        <v>139</v>
      </c>
      <c r="D756">
        <v>127</v>
      </c>
      <c r="E756">
        <v>169</v>
      </c>
      <c r="F756">
        <v>180</v>
      </c>
      <c r="G756">
        <v>453</v>
      </c>
      <c r="H756">
        <v>645</v>
      </c>
      <c r="I756" t="s">
        <v>490</v>
      </c>
      <c r="J756" t="s">
        <v>1647</v>
      </c>
      <c r="M756" t="s">
        <v>85</v>
      </c>
      <c r="O756" t="s">
        <v>14</v>
      </c>
      <c r="P756" t="s">
        <v>1648</v>
      </c>
      <c r="Q756" t="s">
        <v>1649</v>
      </c>
      <c r="R756">
        <v>2019</v>
      </c>
      <c r="S756" t="s">
        <v>1650</v>
      </c>
      <c r="U756" t="s">
        <v>1651</v>
      </c>
      <c r="V756" t="s">
        <v>1652</v>
      </c>
      <c r="W756" t="s">
        <v>170</v>
      </c>
      <c r="X756" t="s">
        <v>171</v>
      </c>
      <c r="Y756" t="s">
        <v>1006</v>
      </c>
      <c r="Z756" t="s">
        <v>1455</v>
      </c>
      <c r="AA756" t="s">
        <v>1653</v>
      </c>
      <c r="AB756" t="s">
        <v>1654</v>
      </c>
      <c r="AC756" t="s">
        <v>1655</v>
      </c>
      <c r="AD756" t="s">
        <v>98</v>
      </c>
      <c r="AE756" t="s">
        <v>177</v>
      </c>
      <c r="AF756" t="s">
        <v>100</v>
      </c>
      <c r="AG756" t="s">
        <v>102</v>
      </c>
      <c r="AH756" t="s">
        <v>262</v>
      </c>
      <c r="AI756" t="s">
        <v>103</v>
      </c>
      <c r="AJ756" t="s">
        <v>135</v>
      </c>
      <c r="AK756">
        <v>4</v>
      </c>
      <c r="AL756">
        <v>25</v>
      </c>
      <c r="AM756" t="s">
        <v>229</v>
      </c>
      <c r="AN756" t="s">
        <v>106</v>
      </c>
      <c r="AT756">
        <f>(2.17704635+2.09979486)/2</f>
        <v>2.1384206049999999</v>
      </c>
      <c r="AV756">
        <v>4</v>
      </c>
      <c r="AW756" t="s">
        <v>269</v>
      </c>
      <c r="AX756">
        <v>25</v>
      </c>
      <c r="AY756" t="s">
        <v>134</v>
      </c>
      <c r="AZ756" t="s">
        <v>212</v>
      </c>
      <c r="BA756" t="s">
        <v>142</v>
      </c>
      <c r="BB756">
        <v>20</v>
      </c>
      <c r="BC756">
        <v>25</v>
      </c>
      <c r="BE756" t="s">
        <v>139</v>
      </c>
      <c r="BH756">
        <v>4</v>
      </c>
      <c r="BI756">
        <v>5</v>
      </c>
      <c r="BJ756">
        <v>3</v>
      </c>
      <c r="BK756">
        <f t="shared" si="35"/>
        <v>17.5</v>
      </c>
      <c r="BL756">
        <f t="shared" si="36"/>
        <v>70</v>
      </c>
      <c r="BP756">
        <v>12</v>
      </c>
      <c r="BS756" t="s">
        <v>515</v>
      </c>
      <c r="BU756" t="s">
        <v>1657</v>
      </c>
      <c r="BV756">
        <v>36.44</v>
      </c>
      <c r="BW756">
        <v>1.127551</v>
      </c>
      <c r="BX756">
        <v>15</v>
      </c>
      <c r="BY756">
        <v>41.74</v>
      </c>
      <c r="BZ756">
        <v>1.1938776</v>
      </c>
      <c r="CA756">
        <v>15</v>
      </c>
      <c r="CB756" t="s">
        <v>215</v>
      </c>
      <c r="CC756" t="s">
        <v>1368</v>
      </c>
    </row>
    <row r="757" spans="1:81" x14ac:dyDescent="0.25">
      <c r="A757" t="s">
        <v>81</v>
      </c>
      <c r="B757">
        <v>756</v>
      </c>
      <c r="C757">
        <v>139</v>
      </c>
      <c r="D757">
        <v>127</v>
      </c>
      <c r="E757">
        <v>169</v>
      </c>
      <c r="F757">
        <v>180</v>
      </c>
      <c r="G757">
        <v>453</v>
      </c>
      <c r="H757">
        <v>646</v>
      </c>
      <c r="I757" t="s">
        <v>490</v>
      </c>
      <c r="J757" t="s">
        <v>1647</v>
      </c>
      <c r="M757" t="s">
        <v>85</v>
      </c>
      <c r="O757" t="s">
        <v>14</v>
      </c>
      <c r="P757" t="s">
        <v>1648</v>
      </c>
      <c r="Q757" t="s">
        <v>1649</v>
      </c>
      <c r="R757">
        <v>2019</v>
      </c>
      <c r="S757" t="s">
        <v>1650</v>
      </c>
      <c r="U757" t="s">
        <v>1651</v>
      </c>
      <c r="V757" t="s">
        <v>1652</v>
      </c>
      <c r="W757" t="s">
        <v>170</v>
      </c>
      <c r="X757" t="s">
        <v>171</v>
      </c>
      <c r="Y757" t="s">
        <v>1006</v>
      </c>
      <c r="Z757" t="s">
        <v>1455</v>
      </c>
      <c r="AA757" t="s">
        <v>1653</v>
      </c>
      <c r="AB757" t="s">
        <v>1654</v>
      </c>
      <c r="AC757" t="s">
        <v>1655</v>
      </c>
      <c r="AD757" t="s">
        <v>98</v>
      </c>
      <c r="AE757" t="s">
        <v>177</v>
      </c>
      <c r="AF757" t="s">
        <v>100</v>
      </c>
      <c r="AG757" t="s">
        <v>102</v>
      </c>
      <c r="AH757" t="s">
        <v>262</v>
      </c>
      <c r="AI757" t="s">
        <v>103</v>
      </c>
      <c r="AJ757" t="s">
        <v>135</v>
      </c>
      <c r="AK757">
        <v>4</v>
      </c>
      <c r="AL757">
        <v>25</v>
      </c>
      <c r="AM757" t="s">
        <v>229</v>
      </c>
      <c r="AN757" t="s">
        <v>106</v>
      </c>
      <c r="AT757">
        <f>(2.09979486+2.01614574)/2</f>
        <v>2.0579703</v>
      </c>
      <c r="AV757">
        <v>4</v>
      </c>
      <c r="AW757" t="s">
        <v>269</v>
      </c>
      <c r="AX757">
        <v>25</v>
      </c>
      <c r="AY757" t="s">
        <v>134</v>
      </c>
      <c r="AZ757" t="s">
        <v>212</v>
      </c>
      <c r="BA757" t="s">
        <v>142</v>
      </c>
      <c r="BB757">
        <v>25</v>
      </c>
      <c r="BC757">
        <v>28</v>
      </c>
      <c r="BE757" t="s">
        <v>139</v>
      </c>
      <c r="BH757">
        <v>4</v>
      </c>
      <c r="BI757">
        <v>5</v>
      </c>
      <c r="BJ757">
        <v>3</v>
      </c>
      <c r="BK757">
        <f t="shared" si="35"/>
        <v>17.5</v>
      </c>
      <c r="BL757">
        <f t="shared" si="36"/>
        <v>70</v>
      </c>
      <c r="BP757">
        <v>12</v>
      </c>
      <c r="BS757" t="s">
        <v>515</v>
      </c>
      <c r="BU757" t="s">
        <v>1657</v>
      </c>
      <c r="BV757">
        <v>41.74</v>
      </c>
      <c r="BW757">
        <v>1.1938776</v>
      </c>
      <c r="BX757">
        <v>15</v>
      </c>
      <c r="BY757">
        <v>42.06</v>
      </c>
      <c r="BZ757">
        <v>0.52551020000000004</v>
      </c>
      <c r="CA757">
        <v>15</v>
      </c>
      <c r="CB757" t="s">
        <v>215</v>
      </c>
      <c r="CC757" t="s">
        <v>1368</v>
      </c>
    </row>
    <row r="758" spans="1:81" x14ac:dyDescent="0.25">
      <c r="A758" t="s">
        <v>81</v>
      </c>
      <c r="B758">
        <v>757</v>
      </c>
      <c r="C758">
        <v>139</v>
      </c>
      <c r="D758">
        <v>127</v>
      </c>
      <c r="E758">
        <v>169</v>
      </c>
      <c r="F758">
        <v>180</v>
      </c>
      <c r="G758">
        <v>453</v>
      </c>
      <c r="H758">
        <v>647</v>
      </c>
      <c r="I758" t="s">
        <v>490</v>
      </c>
      <c r="J758" t="s">
        <v>1647</v>
      </c>
      <c r="M758" t="s">
        <v>85</v>
      </c>
      <c r="O758" t="s">
        <v>14</v>
      </c>
      <c r="P758" t="s">
        <v>1648</v>
      </c>
      <c r="Q758" t="s">
        <v>1649</v>
      </c>
      <c r="R758">
        <v>2019</v>
      </c>
      <c r="S758" t="s">
        <v>1650</v>
      </c>
      <c r="U758" t="s">
        <v>1651</v>
      </c>
      <c r="V758" t="s">
        <v>1652</v>
      </c>
      <c r="W758" t="s">
        <v>170</v>
      </c>
      <c r="X758" t="s">
        <v>171</v>
      </c>
      <c r="Y758" t="s">
        <v>1006</v>
      </c>
      <c r="Z758" t="s">
        <v>1455</v>
      </c>
      <c r="AA758" t="s">
        <v>1653</v>
      </c>
      <c r="AB758" t="s">
        <v>1654</v>
      </c>
      <c r="AC758" t="s">
        <v>1655</v>
      </c>
      <c r="AD758" t="s">
        <v>98</v>
      </c>
      <c r="AE758" t="s">
        <v>177</v>
      </c>
      <c r="AF758" t="s">
        <v>100</v>
      </c>
      <c r="AG758" t="s">
        <v>102</v>
      </c>
      <c r="AH758" t="s">
        <v>262</v>
      </c>
      <c r="AI758" t="s">
        <v>103</v>
      </c>
      <c r="AJ758" t="s">
        <v>135</v>
      </c>
      <c r="AK758">
        <v>4</v>
      </c>
      <c r="AL758">
        <v>25</v>
      </c>
      <c r="AM758" t="s">
        <v>229</v>
      </c>
      <c r="AN758" t="s">
        <v>106</v>
      </c>
      <c r="AT758">
        <f>(2.01614574+1.95680764)/2</f>
        <v>1.9864766899999999</v>
      </c>
      <c r="AV758">
        <v>4</v>
      </c>
      <c r="AW758" t="s">
        <v>269</v>
      </c>
      <c r="AX758">
        <v>25</v>
      </c>
      <c r="AY758" t="s">
        <v>103</v>
      </c>
      <c r="AZ758" t="s">
        <v>212</v>
      </c>
      <c r="BA758" t="s">
        <v>142</v>
      </c>
      <c r="BB758">
        <v>28</v>
      </c>
      <c r="BC758">
        <v>32</v>
      </c>
      <c r="BE758" t="s">
        <v>139</v>
      </c>
      <c r="BH758">
        <v>4</v>
      </c>
      <c r="BI758">
        <v>5</v>
      </c>
      <c r="BJ758">
        <v>3</v>
      </c>
      <c r="BK758">
        <f t="shared" si="35"/>
        <v>17.5</v>
      </c>
      <c r="BL758">
        <f t="shared" si="36"/>
        <v>70</v>
      </c>
      <c r="BP758">
        <v>12</v>
      </c>
      <c r="BU758" t="s">
        <v>1656</v>
      </c>
      <c r="BV758">
        <v>42.06</v>
      </c>
      <c r="BW758">
        <v>0.52551020000000004</v>
      </c>
      <c r="BX758">
        <v>15</v>
      </c>
      <c r="BY758">
        <v>42.79</v>
      </c>
      <c r="BZ758">
        <v>0.19387760000000001</v>
      </c>
      <c r="CA758">
        <v>15</v>
      </c>
      <c r="CB758" t="s">
        <v>215</v>
      </c>
      <c r="CC758" t="s">
        <v>1368</v>
      </c>
    </row>
    <row r="759" spans="1:81" x14ac:dyDescent="0.25">
      <c r="A759" t="s">
        <v>81</v>
      </c>
      <c r="B759">
        <v>758</v>
      </c>
      <c r="C759">
        <v>139</v>
      </c>
      <c r="D759">
        <v>127</v>
      </c>
      <c r="E759">
        <v>169</v>
      </c>
      <c r="F759">
        <v>180</v>
      </c>
      <c r="G759">
        <v>454</v>
      </c>
      <c r="H759">
        <v>648</v>
      </c>
      <c r="I759" t="s">
        <v>490</v>
      </c>
      <c r="J759" t="s">
        <v>1647</v>
      </c>
      <c r="M759" t="s">
        <v>85</v>
      </c>
      <c r="O759" t="s">
        <v>14</v>
      </c>
      <c r="P759" t="s">
        <v>1648</v>
      </c>
      <c r="Q759" t="s">
        <v>1649</v>
      </c>
      <c r="R759">
        <v>2019</v>
      </c>
      <c r="S759" t="s">
        <v>1650</v>
      </c>
      <c r="U759" t="s">
        <v>1651</v>
      </c>
      <c r="V759" t="s">
        <v>1652</v>
      </c>
      <c r="W759" t="s">
        <v>170</v>
      </c>
      <c r="X759" t="s">
        <v>171</v>
      </c>
      <c r="Y759" t="s">
        <v>1006</v>
      </c>
      <c r="Z759" t="s">
        <v>1455</v>
      </c>
      <c r="AA759" t="s">
        <v>1653</v>
      </c>
      <c r="AB759" t="s">
        <v>1654</v>
      </c>
      <c r="AC759" t="s">
        <v>1655</v>
      </c>
      <c r="AD759" t="s">
        <v>98</v>
      </c>
      <c r="AE759" t="s">
        <v>177</v>
      </c>
      <c r="AF759" t="s">
        <v>100</v>
      </c>
      <c r="AG759" t="s">
        <v>102</v>
      </c>
      <c r="AH759" t="s">
        <v>262</v>
      </c>
      <c r="AI759" t="s">
        <v>103</v>
      </c>
      <c r="AJ759" t="s">
        <v>135</v>
      </c>
      <c r="AK759">
        <v>4</v>
      </c>
      <c r="AL759">
        <v>25</v>
      </c>
      <c r="AM759" t="s">
        <v>229</v>
      </c>
      <c r="AN759" t="s">
        <v>106</v>
      </c>
      <c r="AT759">
        <f>(2.09275746+2.07068561)/2</f>
        <v>2.0817215349999998</v>
      </c>
      <c r="AV759">
        <v>4</v>
      </c>
      <c r="AW759" t="s">
        <v>269</v>
      </c>
      <c r="AX759">
        <v>25</v>
      </c>
      <c r="AY759" t="s">
        <v>134</v>
      </c>
      <c r="AZ759" t="s">
        <v>212</v>
      </c>
      <c r="BA759" t="s">
        <v>142</v>
      </c>
      <c r="BB759">
        <v>20</v>
      </c>
      <c r="BC759">
        <v>25</v>
      </c>
      <c r="BE759" t="s">
        <v>139</v>
      </c>
      <c r="BH759">
        <v>4</v>
      </c>
      <c r="BI759">
        <v>5</v>
      </c>
      <c r="BJ759">
        <v>3</v>
      </c>
      <c r="BK759">
        <f t="shared" si="35"/>
        <v>17.5</v>
      </c>
      <c r="BL759">
        <f t="shared" si="36"/>
        <v>70</v>
      </c>
      <c r="BP759">
        <v>12</v>
      </c>
      <c r="BS759" t="s">
        <v>515</v>
      </c>
      <c r="BU759" t="s">
        <v>1658</v>
      </c>
      <c r="BV759">
        <v>40.01</v>
      </c>
      <c r="BW759">
        <v>0.1132653</v>
      </c>
      <c r="BX759">
        <v>15</v>
      </c>
      <c r="BY759">
        <v>41.41</v>
      </c>
      <c r="BZ759">
        <v>0.5816327</v>
      </c>
      <c r="CA759">
        <v>15</v>
      </c>
      <c r="CB759" t="s">
        <v>215</v>
      </c>
      <c r="CC759" t="s">
        <v>1368</v>
      </c>
    </row>
    <row r="760" spans="1:81" x14ac:dyDescent="0.25">
      <c r="A760" t="s">
        <v>81</v>
      </c>
      <c r="B760">
        <v>759</v>
      </c>
      <c r="C760">
        <v>139</v>
      </c>
      <c r="D760">
        <v>127</v>
      </c>
      <c r="E760">
        <v>169</v>
      </c>
      <c r="F760">
        <v>180</v>
      </c>
      <c r="G760">
        <v>454</v>
      </c>
      <c r="H760">
        <v>649</v>
      </c>
      <c r="I760" t="s">
        <v>490</v>
      </c>
      <c r="J760" t="s">
        <v>1647</v>
      </c>
      <c r="M760" t="s">
        <v>85</v>
      </c>
      <c r="O760" t="s">
        <v>14</v>
      </c>
      <c r="P760" t="s">
        <v>1648</v>
      </c>
      <c r="Q760" t="s">
        <v>1649</v>
      </c>
      <c r="R760">
        <v>2019</v>
      </c>
      <c r="S760" t="s">
        <v>1650</v>
      </c>
      <c r="U760" t="s">
        <v>1651</v>
      </c>
      <c r="V760" t="s">
        <v>1652</v>
      </c>
      <c r="W760" t="s">
        <v>170</v>
      </c>
      <c r="X760" t="s">
        <v>171</v>
      </c>
      <c r="Y760" t="s">
        <v>1006</v>
      </c>
      <c r="Z760" t="s">
        <v>1455</v>
      </c>
      <c r="AA760" t="s">
        <v>1653</v>
      </c>
      <c r="AB760" t="s">
        <v>1654</v>
      </c>
      <c r="AC760" t="s">
        <v>1655</v>
      </c>
      <c r="AD760" t="s">
        <v>98</v>
      </c>
      <c r="AE760" t="s">
        <v>177</v>
      </c>
      <c r="AF760" t="s">
        <v>100</v>
      </c>
      <c r="AG760" t="s">
        <v>102</v>
      </c>
      <c r="AH760" t="s">
        <v>262</v>
      </c>
      <c r="AI760" t="s">
        <v>103</v>
      </c>
      <c r="AJ760" t="s">
        <v>135</v>
      </c>
      <c r="AK760">
        <v>4</v>
      </c>
      <c r="AL760">
        <v>25</v>
      </c>
      <c r="AM760" t="s">
        <v>229</v>
      </c>
      <c r="AN760" t="s">
        <v>106</v>
      </c>
      <c r="AT760">
        <f>(2.07068561+2.04045677)/2</f>
        <v>2.0555711900000002</v>
      </c>
      <c r="AV760">
        <v>4</v>
      </c>
      <c r="AW760" t="s">
        <v>269</v>
      </c>
      <c r="AX760">
        <v>25</v>
      </c>
      <c r="AY760" t="s">
        <v>134</v>
      </c>
      <c r="AZ760" t="s">
        <v>212</v>
      </c>
      <c r="BA760" t="s">
        <v>142</v>
      </c>
      <c r="BB760">
        <v>25</v>
      </c>
      <c r="BC760">
        <v>28</v>
      </c>
      <c r="BE760" t="s">
        <v>139</v>
      </c>
      <c r="BH760">
        <v>4</v>
      </c>
      <c r="BI760">
        <v>5</v>
      </c>
      <c r="BJ760">
        <v>3</v>
      </c>
      <c r="BK760">
        <f t="shared" si="35"/>
        <v>17.5</v>
      </c>
      <c r="BL760">
        <f t="shared" si="36"/>
        <v>70</v>
      </c>
      <c r="BP760">
        <v>12</v>
      </c>
      <c r="BS760" t="s">
        <v>515</v>
      </c>
      <c r="BU760" t="s">
        <v>1658</v>
      </c>
      <c r="BV760">
        <v>41.41</v>
      </c>
      <c r="BW760">
        <v>0.5816327</v>
      </c>
      <c r="BX760">
        <v>15</v>
      </c>
      <c r="BY760">
        <v>42.2</v>
      </c>
      <c r="BZ760">
        <v>0.43877549999999998</v>
      </c>
      <c r="CA760">
        <v>15</v>
      </c>
      <c r="CB760" t="s">
        <v>215</v>
      </c>
      <c r="CC760" t="s">
        <v>1368</v>
      </c>
    </row>
    <row r="761" spans="1:81" x14ac:dyDescent="0.25">
      <c r="A761" t="s">
        <v>81</v>
      </c>
      <c r="B761">
        <v>760</v>
      </c>
      <c r="C761">
        <v>139</v>
      </c>
      <c r="D761">
        <v>127</v>
      </c>
      <c r="E761">
        <v>169</v>
      </c>
      <c r="F761">
        <v>180</v>
      </c>
      <c r="G761">
        <v>454</v>
      </c>
      <c r="H761">
        <v>650</v>
      </c>
      <c r="I761" t="s">
        <v>490</v>
      </c>
      <c r="J761" t="s">
        <v>1647</v>
      </c>
      <c r="M761" t="s">
        <v>85</v>
      </c>
      <c r="O761" t="s">
        <v>14</v>
      </c>
      <c r="P761" t="s">
        <v>1648</v>
      </c>
      <c r="Q761" t="s">
        <v>1649</v>
      </c>
      <c r="R761">
        <v>2019</v>
      </c>
      <c r="S761" t="s">
        <v>1650</v>
      </c>
      <c r="U761" t="s">
        <v>1651</v>
      </c>
      <c r="V761" t="s">
        <v>1652</v>
      </c>
      <c r="W761" t="s">
        <v>170</v>
      </c>
      <c r="X761" t="s">
        <v>171</v>
      </c>
      <c r="Y761" t="s">
        <v>1006</v>
      </c>
      <c r="Z761" t="s">
        <v>1455</v>
      </c>
      <c r="AA761" t="s">
        <v>1653</v>
      </c>
      <c r="AB761" t="s">
        <v>1654</v>
      </c>
      <c r="AC761" t="s">
        <v>1655</v>
      </c>
      <c r="AD761" t="s">
        <v>98</v>
      </c>
      <c r="AE761" t="s">
        <v>177</v>
      </c>
      <c r="AF761" t="s">
        <v>100</v>
      </c>
      <c r="AG761" t="s">
        <v>102</v>
      </c>
      <c r="AH761" t="s">
        <v>262</v>
      </c>
      <c r="AI761" t="s">
        <v>103</v>
      </c>
      <c r="AJ761" t="s">
        <v>135</v>
      </c>
      <c r="AK761">
        <v>4</v>
      </c>
      <c r="AL761">
        <v>25</v>
      </c>
      <c r="AM761" t="s">
        <v>229</v>
      </c>
      <c r="AN761" t="s">
        <v>106</v>
      </c>
      <c r="AT761">
        <f>(2.04045677+1.9390542)/2</f>
        <v>1.9897554849999999</v>
      </c>
      <c r="AV761">
        <v>4</v>
      </c>
      <c r="AW761" t="s">
        <v>269</v>
      </c>
      <c r="AX761">
        <v>25</v>
      </c>
      <c r="AY761" t="s">
        <v>103</v>
      </c>
      <c r="AZ761" t="s">
        <v>212</v>
      </c>
      <c r="BA761" t="s">
        <v>142</v>
      </c>
      <c r="BB761">
        <v>28</v>
      </c>
      <c r="BC761">
        <v>32</v>
      </c>
      <c r="BE761" t="s">
        <v>139</v>
      </c>
      <c r="BH761">
        <v>4</v>
      </c>
      <c r="BI761">
        <v>5</v>
      </c>
      <c r="BJ761">
        <v>3</v>
      </c>
      <c r="BK761">
        <f t="shared" si="35"/>
        <v>17.5</v>
      </c>
      <c r="BL761">
        <f t="shared" si="36"/>
        <v>70</v>
      </c>
      <c r="BP761">
        <v>12</v>
      </c>
      <c r="BU761" t="s">
        <v>1659</v>
      </c>
      <c r="BV761">
        <v>42.2</v>
      </c>
      <c r="BW761">
        <v>0.43877549999999998</v>
      </c>
      <c r="BX761">
        <v>15</v>
      </c>
      <c r="BY761">
        <v>42.93</v>
      </c>
      <c r="BZ761">
        <v>1.4744898</v>
      </c>
      <c r="CA761">
        <v>15</v>
      </c>
      <c r="CB761" t="s">
        <v>215</v>
      </c>
      <c r="CC761" t="s">
        <v>1368</v>
      </c>
    </row>
    <row r="762" spans="1:81" x14ac:dyDescent="0.25">
      <c r="A762" t="s">
        <v>81</v>
      </c>
      <c r="B762">
        <v>761</v>
      </c>
      <c r="C762">
        <v>140</v>
      </c>
      <c r="D762">
        <v>128</v>
      </c>
      <c r="E762">
        <v>170</v>
      </c>
      <c r="F762">
        <v>181</v>
      </c>
      <c r="G762">
        <v>455</v>
      </c>
      <c r="H762">
        <v>651</v>
      </c>
      <c r="J762" t="s">
        <v>211</v>
      </c>
      <c r="M762" t="s">
        <v>85</v>
      </c>
      <c r="O762" t="s">
        <v>14</v>
      </c>
      <c r="P762" t="s">
        <v>1660</v>
      </c>
      <c r="Q762" t="s">
        <v>1661</v>
      </c>
      <c r="R762">
        <v>2020</v>
      </c>
      <c r="S762" t="s">
        <v>1662</v>
      </c>
      <c r="U762" t="s">
        <v>1663</v>
      </c>
      <c r="V762" t="s">
        <v>1652</v>
      </c>
      <c r="W762" t="s">
        <v>1267</v>
      </c>
      <c r="X762" t="s">
        <v>1477</v>
      </c>
      <c r="Y762" t="s">
        <v>1478</v>
      </c>
      <c r="Z762" t="s">
        <v>1664</v>
      </c>
      <c r="AA762" t="s">
        <v>1665</v>
      </c>
      <c r="AB762" t="s">
        <v>1666</v>
      </c>
      <c r="AC762" t="s">
        <v>1667</v>
      </c>
      <c r="AD762" t="s">
        <v>132</v>
      </c>
      <c r="AE762" t="s">
        <v>316</v>
      </c>
      <c r="AF762" t="s">
        <v>100</v>
      </c>
      <c r="AG762" t="s">
        <v>101</v>
      </c>
      <c r="AH762" t="s">
        <v>101</v>
      </c>
      <c r="AI762" t="s">
        <v>134</v>
      </c>
      <c r="AJ762" t="s">
        <v>104</v>
      </c>
      <c r="AM762" t="s">
        <v>403</v>
      </c>
      <c r="AN762" t="s">
        <v>106</v>
      </c>
      <c r="AO762">
        <v>34.417749999999998</v>
      </c>
      <c r="AP762">
        <v>-119.90153333329999</v>
      </c>
      <c r="AQ762">
        <v>-14</v>
      </c>
      <c r="AT762">
        <f>(0.1971+0.1592)/2</f>
        <v>0.17815</v>
      </c>
      <c r="AW762" t="s">
        <v>108</v>
      </c>
      <c r="AX762">
        <v>14.6</v>
      </c>
      <c r="AY762" t="s">
        <v>103</v>
      </c>
      <c r="AZ762" t="s">
        <v>212</v>
      </c>
      <c r="BA762" t="s">
        <v>142</v>
      </c>
      <c r="BB762">
        <v>13.1</v>
      </c>
      <c r="BC762">
        <v>17.2</v>
      </c>
      <c r="BD762">
        <f>(0.1+0.14)/2</f>
        <v>0.12000000000000001</v>
      </c>
      <c r="BE762" t="s">
        <v>139</v>
      </c>
      <c r="BH762">
        <v>1</v>
      </c>
      <c r="BI762">
        <v>7</v>
      </c>
      <c r="BJ762">
        <v>1</v>
      </c>
      <c r="BK762">
        <v>100</v>
      </c>
      <c r="BO762">
        <f>(7.67+7.66)/2</f>
        <v>7.665</v>
      </c>
      <c r="BU762" t="s">
        <v>1668</v>
      </c>
      <c r="BV762">
        <v>29.1</v>
      </c>
      <c r="BW762">
        <v>0.1</v>
      </c>
      <c r="BX762">
        <v>7</v>
      </c>
      <c r="BY762">
        <v>29.3</v>
      </c>
      <c r="BZ762">
        <v>0.1</v>
      </c>
      <c r="CA762">
        <v>7</v>
      </c>
      <c r="CB762" t="s">
        <v>215</v>
      </c>
      <c r="CC762" t="s">
        <v>1669</v>
      </c>
    </row>
    <row r="763" spans="1:81" x14ac:dyDescent="0.25">
      <c r="A763" t="s">
        <v>81</v>
      </c>
      <c r="B763">
        <v>762</v>
      </c>
      <c r="C763">
        <v>140</v>
      </c>
      <c r="D763">
        <v>128</v>
      </c>
      <c r="E763">
        <v>170</v>
      </c>
      <c r="F763">
        <v>181</v>
      </c>
      <c r="G763">
        <v>456</v>
      </c>
      <c r="H763">
        <v>652</v>
      </c>
      <c r="J763" t="s">
        <v>211</v>
      </c>
      <c r="M763" t="s">
        <v>85</v>
      </c>
      <c r="O763" t="s">
        <v>14</v>
      </c>
      <c r="P763" t="s">
        <v>1660</v>
      </c>
      <c r="Q763" t="s">
        <v>1661</v>
      </c>
      <c r="R763">
        <v>2020</v>
      </c>
      <c r="S763" t="s">
        <v>1662</v>
      </c>
      <c r="U763" t="s">
        <v>1663</v>
      </c>
      <c r="V763" t="s">
        <v>1652</v>
      </c>
      <c r="W763" t="s">
        <v>1267</v>
      </c>
      <c r="X763" t="s">
        <v>1477</v>
      </c>
      <c r="Y763" t="s">
        <v>1478</v>
      </c>
      <c r="Z763" t="s">
        <v>1664</v>
      </c>
      <c r="AA763" t="s">
        <v>1665</v>
      </c>
      <c r="AB763" t="s">
        <v>1666</v>
      </c>
      <c r="AC763" t="s">
        <v>1667</v>
      </c>
      <c r="AD763" t="s">
        <v>132</v>
      </c>
      <c r="AE763" t="s">
        <v>316</v>
      </c>
      <c r="AF763" t="s">
        <v>100</v>
      </c>
      <c r="AG763" t="s">
        <v>101</v>
      </c>
      <c r="AH763" t="s">
        <v>101</v>
      </c>
      <c r="AI763" t="s">
        <v>134</v>
      </c>
      <c r="AJ763" t="s">
        <v>104</v>
      </c>
      <c r="AM763" t="s">
        <v>403</v>
      </c>
      <c r="AN763" t="s">
        <v>106</v>
      </c>
      <c r="AO763">
        <v>34.417749999999998</v>
      </c>
      <c r="AP763">
        <v>-119.90153333329999</v>
      </c>
      <c r="AQ763">
        <v>-14</v>
      </c>
      <c r="AT763">
        <f>(0.2007+0.1701)/2</f>
        <v>0.18540000000000001</v>
      </c>
      <c r="AW763" t="s">
        <v>108</v>
      </c>
      <c r="AX763">
        <v>14.6</v>
      </c>
      <c r="AY763" t="s">
        <v>103</v>
      </c>
      <c r="AZ763" t="s">
        <v>212</v>
      </c>
      <c r="BA763" t="s">
        <v>142</v>
      </c>
      <c r="BB763">
        <v>13.2</v>
      </c>
      <c r="BC763">
        <v>17.2</v>
      </c>
      <c r="BD763">
        <f>(0.04+0.13)/2</f>
        <v>8.5000000000000006E-2</v>
      </c>
      <c r="BE763" t="s">
        <v>139</v>
      </c>
      <c r="BH763">
        <v>1</v>
      </c>
      <c r="BI763">
        <v>7</v>
      </c>
      <c r="BJ763">
        <v>1</v>
      </c>
      <c r="BK763">
        <v>100</v>
      </c>
      <c r="BO763">
        <f>(7.96+7.98)/2</f>
        <v>7.9700000000000006</v>
      </c>
      <c r="BU763" t="s">
        <v>1668</v>
      </c>
      <c r="BV763">
        <v>29.1</v>
      </c>
      <c r="BW763">
        <v>0.1</v>
      </c>
      <c r="BX763">
        <v>7</v>
      </c>
      <c r="BY763">
        <v>29.4</v>
      </c>
      <c r="BZ763">
        <v>0.1</v>
      </c>
      <c r="CA763">
        <v>7</v>
      </c>
      <c r="CB763" t="s">
        <v>215</v>
      </c>
      <c r="CC763" t="s">
        <v>1669</v>
      </c>
    </row>
    <row r="764" spans="1:81" x14ac:dyDescent="0.25">
      <c r="A764" t="s">
        <v>81</v>
      </c>
      <c r="B764">
        <v>763</v>
      </c>
      <c r="C764">
        <v>141</v>
      </c>
      <c r="D764">
        <v>129</v>
      </c>
      <c r="E764">
        <v>171</v>
      </c>
      <c r="F764">
        <v>182</v>
      </c>
      <c r="G764">
        <v>457</v>
      </c>
      <c r="H764">
        <v>653</v>
      </c>
      <c r="I764" t="s">
        <v>490</v>
      </c>
      <c r="J764" t="s">
        <v>1647</v>
      </c>
      <c r="M764" t="s">
        <v>85</v>
      </c>
      <c r="O764" t="s">
        <v>14</v>
      </c>
      <c r="P764" t="s">
        <v>1670</v>
      </c>
      <c r="Q764" t="s">
        <v>1671</v>
      </c>
      <c r="R764">
        <v>2005</v>
      </c>
      <c r="S764" t="s">
        <v>1672</v>
      </c>
      <c r="V764" t="s">
        <v>1673</v>
      </c>
      <c r="W764" t="s">
        <v>170</v>
      </c>
      <c r="X764" t="s">
        <v>965</v>
      </c>
      <c r="Y764" t="s">
        <v>966</v>
      </c>
      <c r="Z764" t="s">
        <v>967</v>
      </c>
      <c r="AA764" t="s">
        <v>1674</v>
      </c>
      <c r="AB764" t="s">
        <v>1675</v>
      </c>
      <c r="AC764" t="s">
        <v>1676</v>
      </c>
      <c r="AD764" t="s">
        <v>132</v>
      </c>
      <c r="AE764" t="s">
        <v>316</v>
      </c>
      <c r="AF764" t="s">
        <v>100</v>
      </c>
      <c r="AG764" t="s">
        <v>102</v>
      </c>
      <c r="AH764" t="s">
        <v>102</v>
      </c>
      <c r="AI764" t="s">
        <v>134</v>
      </c>
      <c r="AJ764" t="s">
        <v>135</v>
      </c>
      <c r="AM764" t="s">
        <v>136</v>
      </c>
      <c r="AN764" t="s">
        <v>700</v>
      </c>
      <c r="AW764" t="s">
        <v>108</v>
      </c>
      <c r="AZ764" t="s">
        <v>109</v>
      </c>
      <c r="BA764" t="s">
        <v>138</v>
      </c>
      <c r="BB764">
        <v>25</v>
      </c>
      <c r="BC764">
        <v>28</v>
      </c>
      <c r="BE764" t="s">
        <v>139</v>
      </c>
      <c r="BF764">
        <f t="shared" ref="BF764:BF781" si="37">96/24</f>
        <v>4</v>
      </c>
      <c r="BG764">
        <v>0.3</v>
      </c>
      <c r="BU764" t="s">
        <v>1677</v>
      </c>
      <c r="BV764">
        <v>42.72</v>
      </c>
      <c r="BW764">
        <v>0.60373840000000001</v>
      </c>
      <c r="BX764">
        <v>5</v>
      </c>
      <c r="BY764">
        <v>43.1</v>
      </c>
      <c r="BZ764">
        <v>0.98386989999999996</v>
      </c>
      <c r="CA764">
        <v>5</v>
      </c>
      <c r="CB764" t="s">
        <v>113</v>
      </c>
      <c r="CC764" t="s">
        <v>1678</v>
      </c>
    </row>
    <row r="765" spans="1:81" x14ac:dyDescent="0.25">
      <c r="A765" t="s">
        <v>81</v>
      </c>
      <c r="B765">
        <v>764</v>
      </c>
      <c r="C765">
        <v>141</v>
      </c>
      <c r="D765">
        <v>129</v>
      </c>
      <c r="E765">
        <v>171</v>
      </c>
      <c r="F765">
        <v>182</v>
      </c>
      <c r="G765">
        <v>457</v>
      </c>
      <c r="H765">
        <v>654</v>
      </c>
      <c r="I765" t="s">
        <v>490</v>
      </c>
      <c r="J765" t="s">
        <v>1647</v>
      </c>
      <c r="M765" t="s">
        <v>85</v>
      </c>
      <c r="O765" t="s">
        <v>14</v>
      </c>
      <c r="P765" t="s">
        <v>1670</v>
      </c>
      <c r="Q765" t="s">
        <v>1671</v>
      </c>
      <c r="R765">
        <v>2005</v>
      </c>
      <c r="S765" t="s">
        <v>1672</v>
      </c>
      <c r="V765" t="s">
        <v>1673</v>
      </c>
      <c r="W765" t="s">
        <v>170</v>
      </c>
      <c r="X765" t="s">
        <v>965</v>
      </c>
      <c r="Y765" t="s">
        <v>966</v>
      </c>
      <c r="Z765" t="s">
        <v>967</v>
      </c>
      <c r="AA765" t="s">
        <v>1674</v>
      </c>
      <c r="AB765" t="s">
        <v>1675</v>
      </c>
      <c r="AC765" t="s">
        <v>1676</v>
      </c>
      <c r="AD765" t="s">
        <v>132</v>
      </c>
      <c r="AE765" t="s">
        <v>316</v>
      </c>
      <c r="AF765" t="s">
        <v>100</v>
      </c>
      <c r="AG765" t="s">
        <v>102</v>
      </c>
      <c r="AH765" t="s">
        <v>102</v>
      </c>
      <c r="AI765" t="s">
        <v>134</v>
      </c>
      <c r="AJ765" t="s">
        <v>135</v>
      </c>
      <c r="AM765" t="s">
        <v>136</v>
      </c>
      <c r="AN765" t="s">
        <v>700</v>
      </c>
      <c r="AW765" t="s">
        <v>108</v>
      </c>
      <c r="AZ765" t="s">
        <v>109</v>
      </c>
      <c r="BA765" t="s">
        <v>138</v>
      </c>
      <c r="BB765">
        <v>28</v>
      </c>
      <c r="BC765">
        <v>31</v>
      </c>
      <c r="BE765" t="s">
        <v>139</v>
      </c>
      <c r="BF765">
        <f t="shared" si="37"/>
        <v>4</v>
      </c>
      <c r="BG765">
        <v>0.3</v>
      </c>
      <c r="BU765" t="s">
        <v>1679</v>
      </c>
      <c r="BV765">
        <v>43.1</v>
      </c>
      <c r="BW765">
        <v>0.98386989999999996</v>
      </c>
      <c r="BX765">
        <v>5</v>
      </c>
      <c r="BY765">
        <v>43.2</v>
      </c>
      <c r="BZ765">
        <v>0.31304949999999998</v>
      </c>
      <c r="CA765">
        <v>5</v>
      </c>
      <c r="CB765" t="s">
        <v>113</v>
      </c>
      <c r="CC765" t="s">
        <v>1678</v>
      </c>
    </row>
    <row r="766" spans="1:81" x14ac:dyDescent="0.25">
      <c r="A766" t="s">
        <v>81</v>
      </c>
      <c r="B766">
        <v>765</v>
      </c>
      <c r="C766">
        <v>141</v>
      </c>
      <c r="D766">
        <v>129</v>
      </c>
      <c r="E766">
        <v>171</v>
      </c>
      <c r="F766">
        <v>182</v>
      </c>
      <c r="G766">
        <v>457</v>
      </c>
      <c r="H766">
        <v>655</v>
      </c>
      <c r="I766" t="s">
        <v>490</v>
      </c>
      <c r="J766" t="s">
        <v>1647</v>
      </c>
      <c r="M766" t="s">
        <v>85</v>
      </c>
      <c r="O766" t="s">
        <v>14</v>
      </c>
      <c r="P766" t="s">
        <v>1670</v>
      </c>
      <c r="Q766" t="s">
        <v>1671</v>
      </c>
      <c r="R766">
        <v>2005</v>
      </c>
      <c r="S766" t="s">
        <v>1672</v>
      </c>
      <c r="V766" t="s">
        <v>1673</v>
      </c>
      <c r="W766" t="s">
        <v>170</v>
      </c>
      <c r="X766" t="s">
        <v>965</v>
      </c>
      <c r="Y766" t="s">
        <v>966</v>
      </c>
      <c r="Z766" t="s">
        <v>967</v>
      </c>
      <c r="AA766" t="s">
        <v>1674</v>
      </c>
      <c r="AB766" t="s">
        <v>1675</v>
      </c>
      <c r="AC766" t="s">
        <v>1676</v>
      </c>
      <c r="AD766" t="s">
        <v>132</v>
      </c>
      <c r="AE766" t="s">
        <v>316</v>
      </c>
      <c r="AF766" t="s">
        <v>100</v>
      </c>
      <c r="AG766" t="s">
        <v>102</v>
      </c>
      <c r="AH766" t="s">
        <v>102</v>
      </c>
      <c r="AI766" t="s">
        <v>134</v>
      </c>
      <c r="AJ766" t="s">
        <v>135</v>
      </c>
      <c r="AM766" t="s">
        <v>136</v>
      </c>
      <c r="AN766" t="s">
        <v>700</v>
      </c>
      <c r="AW766" t="s">
        <v>108</v>
      </c>
      <c r="AZ766" t="s">
        <v>109</v>
      </c>
      <c r="BA766" t="s">
        <v>138</v>
      </c>
      <c r="BB766">
        <v>31</v>
      </c>
      <c r="BC766">
        <v>34</v>
      </c>
      <c r="BE766" t="s">
        <v>139</v>
      </c>
      <c r="BF766">
        <f t="shared" si="37"/>
        <v>4</v>
      </c>
      <c r="BG766">
        <v>0.3</v>
      </c>
      <c r="BU766" t="s">
        <v>1679</v>
      </c>
      <c r="BV766">
        <v>43.2</v>
      </c>
      <c r="BW766">
        <v>0.31304949999999998</v>
      </c>
      <c r="BX766">
        <v>5</v>
      </c>
      <c r="BY766">
        <v>43.48</v>
      </c>
      <c r="BZ766">
        <v>0.24596750000000001</v>
      </c>
      <c r="CA766">
        <v>5</v>
      </c>
      <c r="CB766" t="s">
        <v>113</v>
      </c>
      <c r="CC766" t="s">
        <v>1678</v>
      </c>
    </row>
    <row r="767" spans="1:81" x14ac:dyDescent="0.25">
      <c r="A767" t="s">
        <v>81</v>
      </c>
      <c r="B767">
        <v>766</v>
      </c>
      <c r="C767">
        <v>141</v>
      </c>
      <c r="D767">
        <v>129</v>
      </c>
      <c r="E767">
        <v>171</v>
      </c>
      <c r="F767">
        <v>182</v>
      </c>
      <c r="G767">
        <v>457</v>
      </c>
      <c r="H767">
        <v>656</v>
      </c>
      <c r="I767" t="s">
        <v>490</v>
      </c>
      <c r="J767" t="s">
        <v>1647</v>
      </c>
      <c r="M767" t="s">
        <v>85</v>
      </c>
      <c r="O767" t="s">
        <v>14</v>
      </c>
      <c r="P767" t="s">
        <v>1670</v>
      </c>
      <c r="Q767" t="s">
        <v>1671</v>
      </c>
      <c r="R767">
        <v>2005</v>
      </c>
      <c r="S767" t="s">
        <v>1672</v>
      </c>
      <c r="V767" t="s">
        <v>1673</v>
      </c>
      <c r="W767" t="s">
        <v>170</v>
      </c>
      <c r="X767" t="s">
        <v>965</v>
      </c>
      <c r="Y767" t="s">
        <v>966</v>
      </c>
      <c r="Z767" t="s">
        <v>967</v>
      </c>
      <c r="AA767" t="s">
        <v>1674</v>
      </c>
      <c r="AB767" t="s">
        <v>1675</v>
      </c>
      <c r="AC767" t="s">
        <v>1676</v>
      </c>
      <c r="AD767" t="s">
        <v>132</v>
      </c>
      <c r="AE767" t="s">
        <v>316</v>
      </c>
      <c r="AF767" t="s">
        <v>100</v>
      </c>
      <c r="AG767" t="s">
        <v>102</v>
      </c>
      <c r="AH767" t="s">
        <v>102</v>
      </c>
      <c r="AI767" t="s">
        <v>134</v>
      </c>
      <c r="AJ767" t="s">
        <v>135</v>
      </c>
      <c r="AM767" t="s">
        <v>136</v>
      </c>
      <c r="AN767" t="s">
        <v>700</v>
      </c>
      <c r="AW767" t="s">
        <v>108</v>
      </c>
      <c r="AZ767" t="s">
        <v>109</v>
      </c>
      <c r="BA767" t="s">
        <v>138</v>
      </c>
      <c r="BB767">
        <v>34</v>
      </c>
      <c r="BC767">
        <v>35</v>
      </c>
      <c r="BE767" t="s">
        <v>139</v>
      </c>
      <c r="BF767">
        <f t="shared" si="37"/>
        <v>4</v>
      </c>
      <c r="BG767">
        <v>0.3</v>
      </c>
      <c r="BU767" t="s">
        <v>1679</v>
      </c>
      <c r="BV767">
        <v>43.48</v>
      </c>
      <c r="BW767">
        <v>0.24596750000000001</v>
      </c>
      <c r="BX767">
        <v>5</v>
      </c>
      <c r="BY767">
        <v>43.6</v>
      </c>
      <c r="BZ767">
        <v>0.44721359999999999</v>
      </c>
      <c r="CA767">
        <v>5</v>
      </c>
      <c r="CB767" t="s">
        <v>113</v>
      </c>
      <c r="CC767" t="s">
        <v>1678</v>
      </c>
    </row>
    <row r="768" spans="1:81" x14ac:dyDescent="0.25">
      <c r="A768" t="s">
        <v>81</v>
      </c>
      <c r="B768">
        <v>767</v>
      </c>
      <c r="C768">
        <v>141</v>
      </c>
      <c r="D768">
        <v>129</v>
      </c>
      <c r="E768">
        <v>171</v>
      </c>
      <c r="F768">
        <v>182</v>
      </c>
      <c r="G768">
        <v>458</v>
      </c>
      <c r="H768">
        <v>657</v>
      </c>
      <c r="I768" t="s">
        <v>490</v>
      </c>
      <c r="J768" t="s">
        <v>197</v>
      </c>
      <c r="M768" t="s">
        <v>85</v>
      </c>
      <c r="O768" t="s">
        <v>14</v>
      </c>
      <c r="P768" t="s">
        <v>1670</v>
      </c>
      <c r="Q768" t="s">
        <v>1671</v>
      </c>
      <c r="R768">
        <v>2005</v>
      </c>
      <c r="S768" t="s">
        <v>1672</v>
      </c>
      <c r="V768" t="s">
        <v>1673</v>
      </c>
      <c r="W768" t="s">
        <v>170</v>
      </c>
      <c r="X768" t="s">
        <v>965</v>
      </c>
      <c r="Y768" t="s">
        <v>966</v>
      </c>
      <c r="Z768" t="s">
        <v>967</v>
      </c>
      <c r="AA768" t="s">
        <v>1674</v>
      </c>
      <c r="AB768" t="s">
        <v>1675</v>
      </c>
      <c r="AC768" t="s">
        <v>1676</v>
      </c>
      <c r="AD768" t="s">
        <v>132</v>
      </c>
      <c r="AE768" t="s">
        <v>316</v>
      </c>
      <c r="AF768" t="s">
        <v>100</v>
      </c>
      <c r="AG768" t="s">
        <v>102</v>
      </c>
      <c r="AH768" t="s">
        <v>102</v>
      </c>
      <c r="AI768" t="s">
        <v>134</v>
      </c>
      <c r="AJ768" t="s">
        <v>135</v>
      </c>
      <c r="AM768" t="s">
        <v>136</v>
      </c>
      <c r="AN768" t="s">
        <v>700</v>
      </c>
      <c r="AT768">
        <v>44</v>
      </c>
      <c r="AW768" t="s">
        <v>108</v>
      </c>
      <c r="AZ768" t="s">
        <v>212</v>
      </c>
      <c r="BA768" t="s">
        <v>142</v>
      </c>
      <c r="BB768">
        <v>25</v>
      </c>
      <c r="BC768">
        <v>28</v>
      </c>
      <c r="BE768" t="s">
        <v>139</v>
      </c>
      <c r="BF768">
        <f t="shared" si="37"/>
        <v>4</v>
      </c>
      <c r="BI768">
        <v>7</v>
      </c>
      <c r="BJ768">
        <v>1</v>
      </c>
      <c r="BK768">
        <v>20</v>
      </c>
      <c r="BU768" t="s">
        <v>1679</v>
      </c>
      <c r="BV768">
        <v>37.347459999999998</v>
      </c>
      <c r="BW768">
        <v>0.1367381</v>
      </c>
      <c r="BX768">
        <v>7</v>
      </c>
      <c r="BY768">
        <v>37.551760000000002</v>
      </c>
      <c r="BZ768">
        <v>0.1321117</v>
      </c>
      <c r="CA768">
        <v>7</v>
      </c>
      <c r="CB768" t="s">
        <v>215</v>
      </c>
      <c r="CC768" t="s">
        <v>1680</v>
      </c>
    </row>
    <row r="769" spans="1:81" x14ac:dyDescent="0.25">
      <c r="A769" t="s">
        <v>81</v>
      </c>
      <c r="B769">
        <v>768</v>
      </c>
      <c r="C769">
        <v>141</v>
      </c>
      <c r="D769">
        <v>129</v>
      </c>
      <c r="E769">
        <v>171</v>
      </c>
      <c r="F769">
        <v>182</v>
      </c>
      <c r="G769">
        <v>458</v>
      </c>
      <c r="H769">
        <v>658</v>
      </c>
      <c r="I769" t="s">
        <v>490</v>
      </c>
      <c r="J769" t="s">
        <v>197</v>
      </c>
      <c r="M769" t="s">
        <v>85</v>
      </c>
      <c r="O769" t="s">
        <v>14</v>
      </c>
      <c r="P769" t="s">
        <v>1670</v>
      </c>
      <c r="Q769" t="s">
        <v>1671</v>
      </c>
      <c r="R769">
        <v>2005</v>
      </c>
      <c r="S769" t="s">
        <v>1672</v>
      </c>
      <c r="V769" t="s">
        <v>1673</v>
      </c>
      <c r="W769" t="s">
        <v>170</v>
      </c>
      <c r="X769" t="s">
        <v>965</v>
      </c>
      <c r="Y769" t="s">
        <v>966</v>
      </c>
      <c r="Z769" t="s">
        <v>967</v>
      </c>
      <c r="AA769" t="s">
        <v>1674</v>
      </c>
      <c r="AB769" t="s">
        <v>1675</v>
      </c>
      <c r="AC769" t="s">
        <v>1676</v>
      </c>
      <c r="AD769" t="s">
        <v>132</v>
      </c>
      <c r="AE769" t="s">
        <v>316</v>
      </c>
      <c r="AF769" t="s">
        <v>100</v>
      </c>
      <c r="AG769" t="s">
        <v>102</v>
      </c>
      <c r="AH769" t="s">
        <v>102</v>
      </c>
      <c r="AI769" t="s">
        <v>134</v>
      </c>
      <c r="AJ769" t="s">
        <v>135</v>
      </c>
      <c r="AM769" t="s">
        <v>136</v>
      </c>
      <c r="AN769" t="s">
        <v>700</v>
      </c>
      <c r="AT769">
        <v>44</v>
      </c>
      <c r="AW769" t="s">
        <v>108</v>
      </c>
      <c r="AZ769" t="s">
        <v>212</v>
      </c>
      <c r="BA769" t="s">
        <v>142</v>
      </c>
      <c r="BB769">
        <v>28</v>
      </c>
      <c r="BC769">
        <v>31</v>
      </c>
      <c r="BE769" t="s">
        <v>139</v>
      </c>
      <c r="BF769">
        <f t="shared" si="37"/>
        <v>4</v>
      </c>
      <c r="BI769">
        <v>7</v>
      </c>
      <c r="BJ769">
        <v>1</v>
      </c>
      <c r="BK769">
        <v>20</v>
      </c>
      <c r="BU769" t="s">
        <v>1679</v>
      </c>
      <c r="BV769">
        <v>37.551760000000002</v>
      </c>
      <c r="BW769">
        <v>0.1321117</v>
      </c>
      <c r="BX769">
        <v>7</v>
      </c>
      <c r="BY769">
        <v>37.918900000000001</v>
      </c>
      <c r="BZ769">
        <v>8.8695800000000005E-2</v>
      </c>
      <c r="CA769">
        <v>7</v>
      </c>
      <c r="CB769" t="s">
        <v>215</v>
      </c>
      <c r="CC769" t="s">
        <v>1680</v>
      </c>
    </row>
    <row r="770" spans="1:81" x14ac:dyDescent="0.25">
      <c r="A770" t="s">
        <v>81</v>
      </c>
      <c r="B770">
        <v>769</v>
      </c>
      <c r="C770">
        <v>141</v>
      </c>
      <c r="D770">
        <v>129</v>
      </c>
      <c r="E770">
        <v>171</v>
      </c>
      <c r="F770">
        <v>182</v>
      </c>
      <c r="G770">
        <v>458</v>
      </c>
      <c r="H770">
        <v>659</v>
      </c>
      <c r="I770" t="s">
        <v>490</v>
      </c>
      <c r="J770" t="s">
        <v>197</v>
      </c>
      <c r="M770" t="s">
        <v>85</v>
      </c>
      <c r="O770" t="s">
        <v>14</v>
      </c>
      <c r="P770" t="s">
        <v>1670</v>
      </c>
      <c r="Q770" t="s">
        <v>1671</v>
      </c>
      <c r="R770">
        <v>2005</v>
      </c>
      <c r="S770" t="s">
        <v>1672</v>
      </c>
      <c r="V770" t="s">
        <v>1673</v>
      </c>
      <c r="W770" t="s">
        <v>170</v>
      </c>
      <c r="X770" t="s">
        <v>965</v>
      </c>
      <c r="Y770" t="s">
        <v>966</v>
      </c>
      <c r="Z770" t="s">
        <v>967</v>
      </c>
      <c r="AA770" t="s">
        <v>1674</v>
      </c>
      <c r="AB770" t="s">
        <v>1675</v>
      </c>
      <c r="AC770" t="s">
        <v>1676</v>
      </c>
      <c r="AD770" t="s">
        <v>132</v>
      </c>
      <c r="AE770" t="s">
        <v>316</v>
      </c>
      <c r="AF770" t="s">
        <v>100</v>
      </c>
      <c r="AG770" t="s">
        <v>102</v>
      </c>
      <c r="AH770" t="s">
        <v>102</v>
      </c>
      <c r="AI770" t="s">
        <v>134</v>
      </c>
      <c r="AJ770" t="s">
        <v>135</v>
      </c>
      <c r="AM770" t="s">
        <v>136</v>
      </c>
      <c r="AN770" t="s">
        <v>700</v>
      </c>
      <c r="AT770">
        <v>44</v>
      </c>
      <c r="AW770" t="s">
        <v>108</v>
      </c>
      <c r="AZ770" t="s">
        <v>212</v>
      </c>
      <c r="BA770" t="s">
        <v>142</v>
      </c>
      <c r="BB770">
        <v>31</v>
      </c>
      <c r="BC770">
        <v>34</v>
      </c>
      <c r="BE770" t="s">
        <v>139</v>
      </c>
      <c r="BF770">
        <f t="shared" si="37"/>
        <v>4</v>
      </c>
      <c r="BI770">
        <v>7</v>
      </c>
      <c r="BJ770">
        <v>1</v>
      </c>
      <c r="BK770">
        <v>20</v>
      </c>
      <c r="BU770" t="s">
        <v>1679</v>
      </c>
      <c r="BV770">
        <v>37.918900000000001</v>
      </c>
      <c r="BW770">
        <v>8.8695800000000005E-2</v>
      </c>
      <c r="BX770">
        <v>7</v>
      </c>
      <c r="BY770">
        <v>38.031329999999997</v>
      </c>
      <c r="BZ770">
        <v>0.1012662</v>
      </c>
      <c r="CA770">
        <v>7</v>
      </c>
      <c r="CB770" t="s">
        <v>215</v>
      </c>
      <c r="CC770" t="s">
        <v>1680</v>
      </c>
    </row>
    <row r="771" spans="1:81" x14ac:dyDescent="0.25">
      <c r="A771" t="s">
        <v>81</v>
      </c>
      <c r="B771">
        <v>770</v>
      </c>
      <c r="C771">
        <v>141</v>
      </c>
      <c r="D771">
        <v>129</v>
      </c>
      <c r="E771">
        <v>171</v>
      </c>
      <c r="F771">
        <v>182</v>
      </c>
      <c r="G771">
        <v>458</v>
      </c>
      <c r="H771">
        <v>660</v>
      </c>
      <c r="I771" t="s">
        <v>490</v>
      </c>
      <c r="J771" t="s">
        <v>197</v>
      </c>
      <c r="M771" t="s">
        <v>85</v>
      </c>
      <c r="O771" t="s">
        <v>14</v>
      </c>
      <c r="P771" t="s">
        <v>1670</v>
      </c>
      <c r="Q771" t="s">
        <v>1671</v>
      </c>
      <c r="R771">
        <v>2005</v>
      </c>
      <c r="S771" t="s">
        <v>1672</v>
      </c>
      <c r="V771" t="s">
        <v>1673</v>
      </c>
      <c r="W771" t="s">
        <v>170</v>
      </c>
      <c r="X771" t="s">
        <v>965</v>
      </c>
      <c r="Y771" t="s">
        <v>966</v>
      </c>
      <c r="Z771" t="s">
        <v>967</v>
      </c>
      <c r="AA771" t="s">
        <v>1674</v>
      </c>
      <c r="AB771" t="s">
        <v>1675</v>
      </c>
      <c r="AC771" t="s">
        <v>1676</v>
      </c>
      <c r="AD771" t="s">
        <v>132</v>
      </c>
      <c r="AE771" t="s">
        <v>316</v>
      </c>
      <c r="AF771" t="s">
        <v>100</v>
      </c>
      <c r="AG771" t="s">
        <v>102</v>
      </c>
      <c r="AH771" t="s">
        <v>102</v>
      </c>
      <c r="AI771" t="s">
        <v>134</v>
      </c>
      <c r="AJ771" t="s">
        <v>135</v>
      </c>
      <c r="AM771" t="s">
        <v>136</v>
      </c>
      <c r="AN771" t="s">
        <v>700</v>
      </c>
      <c r="AT771">
        <v>44</v>
      </c>
      <c r="AW771" t="s">
        <v>108</v>
      </c>
      <c r="AZ771" t="s">
        <v>212</v>
      </c>
      <c r="BA771" t="s">
        <v>142</v>
      </c>
      <c r="BB771">
        <v>34</v>
      </c>
      <c r="BC771">
        <v>35</v>
      </c>
      <c r="BE771" t="s">
        <v>139</v>
      </c>
      <c r="BF771">
        <f t="shared" si="37"/>
        <v>4</v>
      </c>
      <c r="BI771">
        <v>7</v>
      </c>
      <c r="BJ771">
        <v>1</v>
      </c>
      <c r="BK771">
        <v>20</v>
      </c>
      <c r="BU771" t="s">
        <v>1679</v>
      </c>
      <c r="BV771">
        <v>38.031329999999997</v>
      </c>
      <c r="BW771">
        <v>0.1012662</v>
      </c>
      <c r="BX771">
        <v>7</v>
      </c>
      <c r="BY771">
        <v>38.067010000000003</v>
      </c>
      <c r="BZ771">
        <v>9.7941200000000006E-2</v>
      </c>
      <c r="CA771">
        <v>7</v>
      </c>
      <c r="CB771" t="s">
        <v>215</v>
      </c>
      <c r="CC771" t="s">
        <v>1680</v>
      </c>
    </row>
    <row r="772" spans="1:81" x14ac:dyDescent="0.25">
      <c r="A772" t="s">
        <v>81</v>
      </c>
      <c r="B772">
        <v>771</v>
      </c>
      <c r="C772">
        <v>141</v>
      </c>
      <c r="D772">
        <v>130</v>
      </c>
      <c r="E772">
        <v>172</v>
      </c>
      <c r="F772">
        <v>183</v>
      </c>
      <c r="G772">
        <v>459</v>
      </c>
      <c r="H772">
        <v>661</v>
      </c>
      <c r="I772" t="s">
        <v>490</v>
      </c>
      <c r="J772" t="s">
        <v>1647</v>
      </c>
      <c r="M772" t="s">
        <v>85</v>
      </c>
      <c r="O772" t="s">
        <v>14</v>
      </c>
      <c r="P772" t="s">
        <v>1670</v>
      </c>
      <c r="Q772" t="s">
        <v>1671</v>
      </c>
      <c r="R772">
        <v>2005</v>
      </c>
      <c r="S772" t="s">
        <v>1672</v>
      </c>
      <c r="V772" t="s">
        <v>1673</v>
      </c>
      <c r="W772" t="s">
        <v>170</v>
      </c>
      <c r="X772" t="s">
        <v>965</v>
      </c>
      <c r="Y772" t="s">
        <v>966</v>
      </c>
      <c r="Z772" t="s">
        <v>967</v>
      </c>
      <c r="AA772" t="s">
        <v>1681</v>
      </c>
      <c r="AB772" t="s">
        <v>258</v>
      </c>
      <c r="AC772" t="s">
        <v>1682</v>
      </c>
      <c r="AD772" t="s">
        <v>132</v>
      </c>
      <c r="AE772" t="s">
        <v>316</v>
      </c>
      <c r="AF772" t="s">
        <v>100</v>
      </c>
      <c r="AG772" t="s">
        <v>102</v>
      </c>
      <c r="AH772" t="s">
        <v>102</v>
      </c>
      <c r="AI772" t="s">
        <v>134</v>
      </c>
      <c r="AJ772" t="s">
        <v>135</v>
      </c>
      <c r="AM772" t="s">
        <v>136</v>
      </c>
      <c r="AN772" t="s">
        <v>700</v>
      </c>
      <c r="AW772" t="s">
        <v>108</v>
      </c>
      <c r="AZ772" t="s">
        <v>109</v>
      </c>
      <c r="BA772" t="s">
        <v>138</v>
      </c>
      <c r="BB772">
        <v>25</v>
      </c>
      <c r="BC772">
        <v>28</v>
      </c>
      <c r="BE772" t="s">
        <v>139</v>
      </c>
      <c r="BF772">
        <f t="shared" si="37"/>
        <v>4</v>
      </c>
      <c r="BG772">
        <v>0.3</v>
      </c>
      <c r="BU772" t="s">
        <v>1679</v>
      </c>
      <c r="BV772">
        <v>41.58</v>
      </c>
      <c r="BW772">
        <v>0.51429559999999996</v>
      </c>
      <c r="BX772">
        <v>5</v>
      </c>
      <c r="BY772">
        <v>42.44</v>
      </c>
      <c r="BZ772">
        <v>0.98386989999999996</v>
      </c>
      <c r="CA772">
        <v>5</v>
      </c>
      <c r="CB772" t="s">
        <v>113</v>
      </c>
      <c r="CC772" t="s">
        <v>1678</v>
      </c>
    </row>
    <row r="773" spans="1:81" x14ac:dyDescent="0.25">
      <c r="A773" t="s">
        <v>81</v>
      </c>
      <c r="B773">
        <v>772</v>
      </c>
      <c r="C773">
        <v>141</v>
      </c>
      <c r="D773">
        <v>130</v>
      </c>
      <c r="E773">
        <v>172</v>
      </c>
      <c r="F773">
        <v>183</v>
      </c>
      <c r="G773">
        <v>459</v>
      </c>
      <c r="H773">
        <v>662</v>
      </c>
      <c r="I773" t="s">
        <v>490</v>
      </c>
      <c r="J773" t="s">
        <v>1647</v>
      </c>
      <c r="M773" t="s">
        <v>85</v>
      </c>
      <c r="O773" t="s">
        <v>14</v>
      </c>
      <c r="P773" t="s">
        <v>1670</v>
      </c>
      <c r="Q773" t="s">
        <v>1671</v>
      </c>
      <c r="R773">
        <v>2005</v>
      </c>
      <c r="S773" t="s">
        <v>1672</v>
      </c>
      <c r="V773" t="s">
        <v>1673</v>
      </c>
      <c r="W773" t="s">
        <v>170</v>
      </c>
      <c r="X773" t="s">
        <v>965</v>
      </c>
      <c r="Y773" t="s">
        <v>966</v>
      </c>
      <c r="Z773" t="s">
        <v>967</v>
      </c>
      <c r="AA773" t="s">
        <v>1681</v>
      </c>
      <c r="AB773" t="s">
        <v>258</v>
      </c>
      <c r="AC773" t="s">
        <v>1682</v>
      </c>
      <c r="AD773" t="s">
        <v>132</v>
      </c>
      <c r="AE773" t="s">
        <v>316</v>
      </c>
      <c r="AF773" t="s">
        <v>100</v>
      </c>
      <c r="AG773" t="s">
        <v>102</v>
      </c>
      <c r="AH773" t="s">
        <v>102</v>
      </c>
      <c r="AI773" t="s">
        <v>134</v>
      </c>
      <c r="AJ773" t="s">
        <v>135</v>
      </c>
      <c r="AM773" t="s">
        <v>136</v>
      </c>
      <c r="AN773" t="s">
        <v>700</v>
      </c>
      <c r="AW773" t="s">
        <v>108</v>
      </c>
      <c r="AZ773" t="s">
        <v>109</v>
      </c>
      <c r="BA773" t="s">
        <v>138</v>
      </c>
      <c r="BB773">
        <v>28</v>
      </c>
      <c r="BC773">
        <v>31</v>
      </c>
      <c r="BE773" t="s">
        <v>139</v>
      </c>
      <c r="BF773">
        <f t="shared" si="37"/>
        <v>4</v>
      </c>
      <c r="BG773">
        <v>0.3</v>
      </c>
      <c r="BU773" t="s">
        <v>1679</v>
      </c>
      <c r="BV773">
        <v>42.44</v>
      </c>
      <c r="BW773">
        <v>0.98386989999999996</v>
      </c>
      <c r="BX773">
        <v>5</v>
      </c>
      <c r="BY773">
        <v>42.9</v>
      </c>
      <c r="BZ773">
        <v>0.44721359999999999</v>
      </c>
      <c r="CA773">
        <v>5</v>
      </c>
      <c r="CB773" t="s">
        <v>113</v>
      </c>
      <c r="CC773" t="s">
        <v>1678</v>
      </c>
    </row>
    <row r="774" spans="1:81" x14ac:dyDescent="0.25">
      <c r="A774" t="s">
        <v>81</v>
      </c>
      <c r="B774">
        <v>773</v>
      </c>
      <c r="C774">
        <v>141</v>
      </c>
      <c r="D774">
        <v>130</v>
      </c>
      <c r="E774">
        <v>172</v>
      </c>
      <c r="F774">
        <v>183</v>
      </c>
      <c r="G774">
        <v>459</v>
      </c>
      <c r="H774">
        <v>663</v>
      </c>
      <c r="I774" t="s">
        <v>490</v>
      </c>
      <c r="J774" t="s">
        <v>1647</v>
      </c>
      <c r="M774" t="s">
        <v>85</v>
      </c>
      <c r="O774" t="s">
        <v>14</v>
      </c>
      <c r="P774" t="s">
        <v>1670</v>
      </c>
      <c r="Q774" t="s">
        <v>1671</v>
      </c>
      <c r="R774">
        <v>2005</v>
      </c>
      <c r="S774" t="s">
        <v>1672</v>
      </c>
      <c r="V774" t="s">
        <v>1673</v>
      </c>
      <c r="W774" t="s">
        <v>170</v>
      </c>
      <c r="X774" t="s">
        <v>965</v>
      </c>
      <c r="Y774" t="s">
        <v>966</v>
      </c>
      <c r="Z774" t="s">
        <v>967</v>
      </c>
      <c r="AA774" t="s">
        <v>1681</v>
      </c>
      <c r="AB774" t="s">
        <v>258</v>
      </c>
      <c r="AC774" t="s">
        <v>1682</v>
      </c>
      <c r="AD774" t="s">
        <v>132</v>
      </c>
      <c r="AE774" t="s">
        <v>316</v>
      </c>
      <c r="AF774" t="s">
        <v>100</v>
      </c>
      <c r="AG774" t="s">
        <v>102</v>
      </c>
      <c r="AH774" t="s">
        <v>102</v>
      </c>
      <c r="AI774" t="s">
        <v>134</v>
      </c>
      <c r="AJ774" t="s">
        <v>135</v>
      </c>
      <c r="AM774" t="s">
        <v>136</v>
      </c>
      <c r="AN774" t="s">
        <v>700</v>
      </c>
      <c r="AW774" t="s">
        <v>108</v>
      </c>
      <c r="AZ774" t="s">
        <v>109</v>
      </c>
      <c r="BA774" t="s">
        <v>138</v>
      </c>
      <c r="BB774">
        <v>31</v>
      </c>
      <c r="BC774">
        <v>34</v>
      </c>
      <c r="BE774" t="s">
        <v>139</v>
      </c>
      <c r="BF774">
        <f t="shared" si="37"/>
        <v>4</v>
      </c>
      <c r="BG774">
        <v>0.3</v>
      </c>
      <c r="BU774" t="s">
        <v>1679</v>
      </c>
      <c r="BV774">
        <v>42.9</v>
      </c>
      <c r="BW774">
        <v>0.44721359999999999</v>
      </c>
      <c r="BX774">
        <v>5</v>
      </c>
      <c r="BY774">
        <v>43.54</v>
      </c>
      <c r="BZ774">
        <v>0.20124610000000001</v>
      </c>
      <c r="CA774">
        <v>5</v>
      </c>
      <c r="CB774" t="s">
        <v>113</v>
      </c>
      <c r="CC774" t="s">
        <v>1678</v>
      </c>
    </row>
    <row r="775" spans="1:81" x14ac:dyDescent="0.25">
      <c r="A775" t="s">
        <v>81</v>
      </c>
      <c r="B775">
        <v>774</v>
      </c>
      <c r="C775">
        <v>141</v>
      </c>
      <c r="D775">
        <v>130</v>
      </c>
      <c r="E775">
        <v>172</v>
      </c>
      <c r="F775">
        <v>183</v>
      </c>
      <c r="G775">
        <v>459</v>
      </c>
      <c r="H775">
        <v>664</v>
      </c>
      <c r="I775" t="s">
        <v>490</v>
      </c>
      <c r="J775" t="s">
        <v>1647</v>
      </c>
      <c r="M775" t="s">
        <v>85</v>
      </c>
      <c r="O775" t="s">
        <v>14</v>
      </c>
      <c r="P775" t="s">
        <v>1670</v>
      </c>
      <c r="Q775" t="s">
        <v>1671</v>
      </c>
      <c r="R775">
        <v>2005</v>
      </c>
      <c r="S775" t="s">
        <v>1672</v>
      </c>
      <c r="V775" t="s">
        <v>1673</v>
      </c>
      <c r="W775" t="s">
        <v>170</v>
      </c>
      <c r="X775" t="s">
        <v>965</v>
      </c>
      <c r="Y775" t="s">
        <v>966</v>
      </c>
      <c r="Z775" t="s">
        <v>967</v>
      </c>
      <c r="AA775" t="s">
        <v>1681</v>
      </c>
      <c r="AB775" t="s">
        <v>258</v>
      </c>
      <c r="AC775" t="s">
        <v>1682</v>
      </c>
      <c r="AD775" t="s">
        <v>132</v>
      </c>
      <c r="AE775" t="s">
        <v>316</v>
      </c>
      <c r="AF775" t="s">
        <v>100</v>
      </c>
      <c r="AG775" t="s">
        <v>102</v>
      </c>
      <c r="AH775" t="s">
        <v>102</v>
      </c>
      <c r="AI775" t="s">
        <v>134</v>
      </c>
      <c r="AJ775" t="s">
        <v>135</v>
      </c>
      <c r="AM775" t="s">
        <v>136</v>
      </c>
      <c r="AN775" t="s">
        <v>700</v>
      </c>
      <c r="AW775" t="s">
        <v>108</v>
      </c>
      <c r="AZ775" t="s">
        <v>109</v>
      </c>
      <c r="BA775" t="s">
        <v>138</v>
      </c>
      <c r="BB775">
        <v>34</v>
      </c>
      <c r="BC775">
        <v>37</v>
      </c>
      <c r="BE775" t="s">
        <v>139</v>
      </c>
      <c r="BF775">
        <f t="shared" si="37"/>
        <v>4</v>
      </c>
      <c r="BG775">
        <v>0.3</v>
      </c>
      <c r="BU775" t="s">
        <v>1679</v>
      </c>
      <c r="BV775">
        <v>43.54</v>
      </c>
      <c r="BW775">
        <v>0.20124610000000001</v>
      </c>
      <c r="BX775">
        <v>5</v>
      </c>
      <c r="BY775">
        <v>43.9</v>
      </c>
      <c r="BZ775">
        <v>0.31304949999999998</v>
      </c>
      <c r="CA775">
        <v>5</v>
      </c>
      <c r="CB775" t="s">
        <v>113</v>
      </c>
      <c r="CC775" t="s">
        <v>1678</v>
      </c>
    </row>
    <row r="776" spans="1:81" x14ac:dyDescent="0.25">
      <c r="A776" t="s">
        <v>81</v>
      </c>
      <c r="B776">
        <v>775</v>
      </c>
      <c r="C776">
        <v>141</v>
      </c>
      <c r="D776">
        <v>130</v>
      </c>
      <c r="E776">
        <v>172</v>
      </c>
      <c r="F776">
        <v>183</v>
      </c>
      <c r="G776">
        <v>459</v>
      </c>
      <c r="H776">
        <v>665</v>
      </c>
      <c r="I776" t="s">
        <v>490</v>
      </c>
      <c r="J776" t="s">
        <v>1647</v>
      </c>
      <c r="M776" t="s">
        <v>85</v>
      </c>
      <c r="O776" t="s">
        <v>14</v>
      </c>
      <c r="P776" t="s">
        <v>1670</v>
      </c>
      <c r="Q776" t="s">
        <v>1671</v>
      </c>
      <c r="R776">
        <v>2005</v>
      </c>
      <c r="S776" t="s">
        <v>1672</v>
      </c>
      <c r="V776" t="s">
        <v>1673</v>
      </c>
      <c r="W776" t="s">
        <v>170</v>
      </c>
      <c r="X776" t="s">
        <v>965</v>
      </c>
      <c r="Y776" t="s">
        <v>966</v>
      </c>
      <c r="Z776" t="s">
        <v>967</v>
      </c>
      <c r="AA776" t="s">
        <v>1681</v>
      </c>
      <c r="AB776" t="s">
        <v>258</v>
      </c>
      <c r="AC776" t="s">
        <v>1682</v>
      </c>
      <c r="AD776" t="s">
        <v>132</v>
      </c>
      <c r="AE776" t="s">
        <v>316</v>
      </c>
      <c r="AF776" t="s">
        <v>100</v>
      </c>
      <c r="AG776" t="s">
        <v>102</v>
      </c>
      <c r="AH776" t="s">
        <v>102</v>
      </c>
      <c r="AI776" t="s">
        <v>134</v>
      </c>
      <c r="AJ776" t="s">
        <v>135</v>
      </c>
      <c r="AM776" t="s">
        <v>136</v>
      </c>
      <c r="AN776" t="s">
        <v>700</v>
      </c>
      <c r="AW776" t="s">
        <v>108</v>
      </c>
      <c r="AZ776" t="s">
        <v>109</v>
      </c>
      <c r="BA776" t="s">
        <v>138</v>
      </c>
      <c r="BB776">
        <v>37</v>
      </c>
      <c r="BC776">
        <v>38</v>
      </c>
      <c r="BE776" t="s">
        <v>139</v>
      </c>
      <c r="BF776">
        <f t="shared" si="37"/>
        <v>4</v>
      </c>
      <c r="BG776">
        <v>0.3</v>
      </c>
      <c r="BU776" t="s">
        <v>1679</v>
      </c>
      <c r="BV776">
        <v>43.9</v>
      </c>
      <c r="BW776">
        <v>0.31304949999999998</v>
      </c>
      <c r="BX776">
        <v>5</v>
      </c>
      <c r="BY776">
        <v>43.9</v>
      </c>
      <c r="BZ776">
        <v>0.29068880000000002</v>
      </c>
      <c r="CA776">
        <v>5</v>
      </c>
      <c r="CB776" t="s">
        <v>113</v>
      </c>
      <c r="CC776" t="s">
        <v>1678</v>
      </c>
    </row>
    <row r="777" spans="1:81" x14ac:dyDescent="0.25">
      <c r="A777" t="s">
        <v>81</v>
      </c>
      <c r="B777">
        <v>776</v>
      </c>
      <c r="C777">
        <v>141</v>
      </c>
      <c r="D777">
        <v>130</v>
      </c>
      <c r="E777">
        <v>172</v>
      </c>
      <c r="F777">
        <v>183</v>
      </c>
      <c r="G777">
        <v>460</v>
      </c>
      <c r="H777">
        <v>666</v>
      </c>
      <c r="I777" t="s">
        <v>490</v>
      </c>
      <c r="J777" t="s">
        <v>197</v>
      </c>
      <c r="M777" t="s">
        <v>85</v>
      </c>
      <c r="O777" t="s">
        <v>14</v>
      </c>
      <c r="P777" t="s">
        <v>1670</v>
      </c>
      <c r="Q777" t="s">
        <v>1671</v>
      </c>
      <c r="R777">
        <v>2005</v>
      </c>
      <c r="S777" t="s">
        <v>1672</v>
      </c>
      <c r="V777" t="s">
        <v>1673</v>
      </c>
      <c r="W777" t="s">
        <v>170</v>
      </c>
      <c r="X777" t="s">
        <v>965</v>
      </c>
      <c r="Y777" t="s">
        <v>966</v>
      </c>
      <c r="Z777" t="s">
        <v>967</v>
      </c>
      <c r="AA777" t="s">
        <v>1681</v>
      </c>
      <c r="AB777" t="s">
        <v>258</v>
      </c>
      <c r="AC777" t="s">
        <v>1682</v>
      </c>
      <c r="AD777" t="s">
        <v>132</v>
      </c>
      <c r="AE777" t="s">
        <v>316</v>
      </c>
      <c r="AF777" t="s">
        <v>100</v>
      </c>
      <c r="AG777" t="s">
        <v>102</v>
      </c>
      <c r="AH777" t="s">
        <v>102</v>
      </c>
      <c r="AI777" t="s">
        <v>134</v>
      </c>
      <c r="AJ777" t="s">
        <v>135</v>
      </c>
      <c r="AM777" t="s">
        <v>136</v>
      </c>
      <c r="AN777" t="s">
        <v>700</v>
      </c>
      <c r="AT777">
        <v>44</v>
      </c>
      <c r="AW777" t="s">
        <v>108</v>
      </c>
      <c r="AZ777" t="s">
        <v>212</v>
      </c>
      <c r="BA777" t="s">
        <v>142</v>
      </c>
      <c r="BB777">
        <v>25</v>
      </c>
      <c r="BC777">
        <v>28</v>
      </c>
      <c r="BE777" t="s">
        <v>139</v>
      </c>
      <c r="BF777">
        <f t="shared" si="37"/>
        <v>4</v>
      </c>
      <c r="BI777">
        <v>7</v>
      </c>
      <c r="BJ777">
        <v>1</v>
      </c>
      <c r="BK777">
        <v>20</v>
      </c>
      <c r="BU777" t="s">
        <v>1679</v>
      </c>
      <c r="BV777">
        <v>38.909599999999998</v>
      </c>
      <c r="BW777">
        <v>0.1105892</v>
      </c>
      <c r="BX777">
        <v>7</v>
      </c>
      <c r="BY777">
        <v>39.196460000000002</v>
      </c>
      <c r="BZ777">
        <v>0.13355439999999999</v>
      </c>
      <c r="CA777">
        <v>7</v>
      </c>
      <c r="CB777" t="s">
        <v>215</v>
      </c>
      <c r="CC777" t="s">
        <v>1680</v>
      </c>
    </row>
    <row r="778" spans="1:81" x14ac:dyDescent="0.25">
      <c r="A778" t="s">
        <v>81</v>
      </c>
      <c r="B778">
        <v>777</v>
      </c>
      <c r="C778">
        <v>141</v>
      </c>
      <c r="D778">
        <v>130</v>
      </c>
      <c r="E778">
        <v>172</v>
      </c>
      <c r="F778">
        <v>183</v>
      </c>
      <c r="G778">
        <v>460</v>
      </c>
      <c r="H778">
        <v>667</v>
      </c>
      <c r="I778" t="s">
        <v>490</v>
      </c>
      <c r="J778" t="s">
        <v>197</v>
      </c>
      <c r="M778" t="s">
        <v>85</v>
      </c>
      <c r="O778" t="s">
        <v>14</v>
      </c>
      <c r="P778" t="s">
        <v>1670</v>
      </c>
      <c r="Q778" t="s">
        <v>1671</v>
      </c>
      <c r="R778">
        <v>2005</v>
      </c>
      <c r="S778" t="s">
        <v>1672</v>
      </c>
      <c r="V778" t="s">
        <v>1673</v>
      </c>
      <c r="W778" t="s">
        <v>170</v>
      </c>
      <c r="X778" t="s">
        <v>965</v>
      </c>
      <c r="Y778" t="s">
        <v>966</v>
      </c>
      <c r="Z778" t="s">
        <v>967</v>
      </c>
      <c r="AA778" t="s">
        <v>1681</v>
      </c>
      <c r="AB778" t="s">
        <v>258</v>
      </c>
      <c r="AC778" t="s">
        <v>1682</v>
      </c>
      <c r="AD778" t="s">
        <v>132</v>
      </c>
      <c r="AE778" t="s">
        <v>316</v>
      </c>
      <c r="AF778" t="s">
        <v>100</v>
      </c>
      <c r="AG778" t="s">
        <v>102</v>
      </c>
      <c r="AH778" t="s">
        <v>102</v>
      </c>
      <c r="AI778" t="s">
        <v>134</v>
      </c>
      <c r="AJ778" t="s">
        <v>135</v>
      </c>
      <c r="AM778" t="s">
        <v>136</v>
      </c>
      <c r="AN778" t="s">
        <v>700</v>
      </c>
      <c r="AT778">
        <v>44</v>
      </c>
      <c r="AW778" t="s">
        <v>108</v>
      </c>
      <c r="AZ778" t="s">
        <v>212</v>
      </c>
      <c r="BA778" t="s">
        <v>142</v>
      </c>
      <c r="BB778">
        <v>28</v>
      </c>
      <c r="BC778">
        <v>31</v>
      </c>
      <c r="BE778" t="s">
        <v>139</v>
      </c>
      <c r="BF778">
        <f t="shared" si="37"/>
        <v>4</v>
      </c>
      <c r="BI778">
        <v>7</v>
      </c>
      <c r="BJ778">
        <v>1</v>
      </c>
      <c r="BK778">
        <v>20</v>
      </c>
      <c r="BU778" t="s">
        <v>1679</v>
      </c>
      <c r="BV778">
        <v>39.196460000000002</v>
      </c>
      <c r="BW778">
        <v>0.13355439999999999</v>
      </c>
      <c r="BX778">
        <v>7</v>
      </c>
      <c r="BY778">
        <v>39.247900000000001</v>
      </c>
      <c r="BZ778">
        <v>0.13999049999999999</v>
      </c>
      <c r="CA778">
        <v>7</v>
      </c>
      <c r="CB778" t="s">
        <v>215</v>
      </c>
      <c r="CC778" t="s">
        <v>1680</v>
      </c>
    </row>
    <row r="779" spans="1:81" x14ac:dyDescent="0.25">
      <c r="A779" t="s">
        <v>81</v>
      </c>
      <c r="B779">
        <v>778</v>
      </c>
      <c r="C779">
        <v>141</v>
      </c>
      <c r="D779">
        <v>130</v>
      </c>
      <c r="E779">
        <v>172</v>
      </c>
      <c r="F779">
        <v>183</v>
      </c>
      <c r="G779">
        <v>460</v>
      </c>
      <c r="H779">
        <v>668</v>
      </c>
      <c r="I779" t="s">
        <v>490</v>
      </c>
      <c r="J779" t="s">
        <v>197</v>
      </c>
      <c r="M779" t="s">
        <v>85</v>
      </c>
      <c r="O779" t="s">
        <v>14</v>
      </c>
      <c r="P779" t="s">
        <v>1670</v>
      </c>
      <c r="Q779" t="s">
        <v>1671</v>
      </c>
      <c r="R779">
        <v>2005</v>
      </c>
      <c r="S779" t="s">
        <v>1672</v>
      </c>
      <c r="V779" t="s">
        <v>1673</v>
      </c>
      <c r="W779" t="s">
        <v>170</v>
      </c>
      <c r="X779" t="s">
        <v>965</v>
      </c>
      <c r="Y779" t="s">
        <v>966</v>
      </c>
      <c r="Z779" t="s">
        <v>967</v>
      </c>
      <c r="AA779" t="s">
        <v>1681</v>
      </c>
      <c r="AB779" t="s">
        <v>258</v>
      </c>
      <c r="AC779" t="s">
        <v>1682</v>
      </c>
      <c r="AD779" t="s">
        <v>132</v>
      </c>
      <c r="AE779" t="s">
        <v>316</v>
      </c>
      <c r="AF779" t="s">
        <v>100</v>
      </c>
      <c r="AG779" t="s">
        <v>102</v>
      </c>
      <c r="AH779" t="s">
        <v>102</v>
      </c>
      <c r="AI779" t="s">
        <v>134</v>
      </c>
      <c r="AJ779" t="s">
        <v>135</v>
      </c>
      <c r="AM779" t="s">
        <v>136</v>
      </c>
      <c r="AN779" t="s">
        <v>700</v>
      </c>
      <c r="AT779">
        <v>44</v>
      </c>
      <c r="AW779" t="s">
        <v>108</v>
      </c>
      <c r="AZ779" t="s">
        <v>212</v>
      </c>
      <c r="BA779" t="s">
        <v>142</v>
      </c>
      <c r="BB779">
        <v>31</v>
      </c>
      <c r="BC779">
        <v>34</v>
      </c>
      <c r="BE779" t="s">
        <v>139</v>
      </c>
      <c r="BF779">
        <f t="shared" si="37"/>
        <v>4</v>
      </c>
      <c r="BI779">
        <v>7</v>
      </c>
      <c r="BJ779">
        <v>1</v>
      </c>
      <c r="BK779">
        <v>20</v>
      </c>
      <c r="BU779" t="s">
        <v>1679</v>
      </c>
      <c r="BV779">
        <v>39.247900000000001</v>
      </c>
      <c r="BW779">
        <v>0.13999049999999999</v>
      </c>
      <c r="BX779">
        <v>7</v>
      </c>
      <c r="BY779">
        <v>39.297600000000003</v>
      </c>
      <c r="BZ779">
        <v>0.1385178</v>
      </c>
      <c r="CA779">
        <v>7</v>
      </c>
      <c r="CB779" t="s">
        <v>215</v>
      </c>
      <c r="CC779" t="s">
        <v>1680</v>
      </c>
    </row>
    <row r="780" spans="1:81" x14ac:dyDescent="0.25">
      <c r="A780" t="s">
        <v>81</v>
      </c>
      <c r="B780">
        <v>779</v>
      </c>
      <c r="C780">
        <v>141</v>
      </c>
      <c r="D780">
        <v>130</v>
      </c>
      <c r="E780">
        <v>172</v>
      </c>
      <c r="F780">
        <v>183</v>
      </c>
      <c r="G780">
        <v>460</v>
      </c>
      <c r="H780">
        <v>669</v>
      </c>
      <c r="I780" t="s">
        <v>490</v>
      </c>
      <c r="J780" t="s">
        <v>197</v>
      </c>
      <c r="M780" t="s">
        <v>85</v>
      </c>
      <c r="O780" t="s">
        <v>14</v>
      </c>
      <c r="P780" t="s">
        <v>1670</v>
      </c>
      <c r="Q780" t="s">
        <v>1671</v>
      </c>
      <c r="R780">
        <v>2005</v>
      </c>
      <c r="S780" t="s">
        <v>1672</v>
      </c>
      <c r="V780" t="s">
        <v>1673</v>
      </c>
      <c r="W780" t="s">
        <v>170</v>
      </c>
      <c r="X780" t="s">
        <v>965</v>
      </c>
      <c r="Y780" t="s">
        <v>966</v>
      </c>
      <c r="Z780" t="s">
        <v>967</v>
      </c>
      <c r="AA780" t="s">
        <v>1681</v>
      </c>
      <c r="AB780" t="s">
        <v>258</v>
      </c>
      <c r="AC780" t="s">
        <v>1682</v>
      </c>
      <c r="AD780" t="s">
        <v>132</v>
      </c>
      <c r="AE780" t="s">
        <v>316</v>
      </c>
      <c r="AF780" t="s">
        <v>100</v>
      </c>
      <c r="AG780" t="s">
        <v>102</v>
      </c>
      <c r="AH780" t="s">
        <v>102</v>
      </c>
      <c r="AI780" t="s">
        <v>134</v>
      </c>
      <c r="AJ780" t="s">
        <v>135</v>
      </c>
      <c r="AM780" t="s">
        <v>136</v>
      </c>
      <c r="AN780" t="s">
        <v>700</v>
      </c>
      <c r="AT780">
        <v>44</v>
      </c>
      <c r="AW780" t="s">
        <v>108</v>
      </c>
      <c r="AZ780" t="s">
        <v>212</v>
      </c>
      <c r="BA780" t="s">
        <v>142</v>
      </c>
      <c r="BB780">
        <v>34</v>
      </c>
      <c r="BC780">
        <v>37</v>
      </c>
      <c r="BE780" t="s">
        <v>139</v>
      </c>
      <c r="BF780">
        <f t="shared" si="37"/>
        <v>4</v>
      </c>
      <c r="BI780">
        <v>7</v>
      </c>
      <c r="BJ780">
        <v>1</v>
      </c>
      <c r="BK780">
        <v>20</v>
      </c>
      <c r="BU780" t="s">
        <v>1679</v>
      </c>
      <c r="BV780">
        <v>39.297600000000003</v>
      </c>
      <c r="BW780">
        <v>0.1385178</v>
      </c>
      <c r="BX780">
        <v>7</v>
      </c>
      <c r="BY780">
        <v>39.39958</v>
      </c>
      <c r="BZ780">
        <v>0.1472791</v>
      </c>
      <c r="CA780">
        <v>7</v>
      </c>
      <c r="CB780" t="s">
        <v>215</v>
      </c>
      <c r="CC780" t="s">
        <v>1680</v>
      </c>
    </row>
    <row r="781" spans="1:81" x14ac:dyDescent="0.25">
      <c r="A781" t="s">
        <v>81</v>
      </c>
      <c r="B781">
        <v>780</v>
      </c>
      <c r="C781">
        <v>141</v>
      </c>
      <c r="D781">
        <v>130</v>
      </c>
      <c r="E781">
        <v>172</v>
      </c>
      <c r="F781">
        <v>183</v>
      </c>
      <c r="G781">
        <v>460</v>
      </c>
      <c r="H781">
        <v>670</v>
      </c>
      <c r="I781" t="s">
        <v>490</v>
      </c>
      <c r="J781" t="s">
        <v>197</v>
      </c>
      <c r="M781" t="s">
        <v>85</v>
      </c>
      <c r="O781" t="s">
        <v>14</v>
      </c>
      <c r="P781" t="s">
        <v>1670</v>
      </c>
      <c r="Q781" t="s">
        <v>1671</v>
      </c>
      <c r="R781">
        <v>2005</v>
      </c>
      <c r="S781" t="s">
        <v>1672</v>
      </c>
      <c r="V781" t="s">
        <v>1673</v>
      </c>
      <c r="W781" t="s">
        <v>170</v>
      </c>
      <c r="X781" t="s">
        <v>965</v>
      </c>
      <c r="Y781" t="s">
        <v>966</v>
      </c>
      <c r="Z781" t="s">
        <v>967</v>
      </c>
      <c r="AA781" t="s">
        <v>1681</v>
      </c>
      <c r="AB781" t="s">
        <v>258</v>
      </c>
      <c r="AC781" t="s">
        <v>1682</v>
      </c>
      <c r="AD781" t="s">
        <v>132</v>
      </c>
      <c r="AE781" t="s">
        <v>316</v>
      </c>
      <c r="AF781" t="s">
        <v>100</v>
      </c>
      <c r="AG781" t="s">
        <v>102</v>
      </c>
      <c r="AH781" t="s">
        <v>102</v>
      </c>
      <c r="AI781" t="s">
        <v>134</v>
      </c>
      <c r="AJ781" t="s">
        <v>135</v>
      </c>
      <c r="AM781" t="s">
        <v>136</v>
      </c>
      <c r="AN781" t="s">
        <v>700</v>
      </c>
      <c r="AT781">
        <v>44</v>
      </c>
      <c r="AW781" t="s">
        <v>108</v>
      </c>
      <c r="AZ781" t="s">
        <v>212</v>
      </c>
      <c r="BA781" t="s">
        <v>142</v>
      </c>
      <c r="BB781">
        <v>37</v>
      </c>
      <c r="BC781">
        <v>38</v>
      </c>
      <c r="BE781" t="s">
        <v>139</v>
      </c>
      <c r="BF781">
        <f t="shared" si="37"/>
        <v>4</v>
      </c>
      <c r="BI781">
        <v>7</v>
      </c>
      <c r="BJ781">
        <v>1</v>
      </c>
      <c r="BK781">
        <v>20</v>
      </c>
      <c r="BU781" t="s">
        <v>1679</v>
      </c>
      <c r="BV781">
        <v>39.39958</v>
      </c>
      <c r="BW781">
        <v>0.1472791</v>
      </c>
      <c r="BX781">
        <v>7</v>
      </c>
      <c r="BY781">
        <v>38.645989999999998</v>
      </c>
      <c r="BZ781">
        <v>0.1772783</v>
      </c>
      <c r="CA781">
        <v>7</v>
      </c>
      <c r="CB781" t="s">
        <v>215</v>
      </c>
      <c r="CC781" t="s">
        <v>1680</v>
      </c>
    </row>
    <row r="782" spans="1:81" x14ac:dyDescent="0.25">
      <c r="A782" t="s">
        <v>81</v>
      </c>
      <c r="B782">
        <v>781</v>
      </c>
      <c r="C782">
        <v>142</v>
      </c>
      <c r="D782">
        <v>131</v>
      </c>
      <c r="E782">
        <v>173</v>
      </c>
      <c r="F782">
        <v>184</v>
      </c>
      <c r="G782">
        <v>461</v>
      </c>
      <c r="H782">
        <v>671</v>
      </c>
      <c r="I782" t="s">
        <v>1683</v>
      </c>
      <c r="J782" t="s">
        <v>338</v>
      </c>
      <c r="L782" t="s">
        <v>1684</v>
      </c>
      <c r="M782" t="s">
        <v>85</v>
      </c>
      <c r="O782" t="s">
        <v>14</v>
      </c>
      <c r="P782" t="s">
        <v>1685</v>
      </c>
      <c r="Q782" t="s">
        <v>1686</v>
      </c>
      <c r="R782">
        <v>2018</v>
      </c>
      <c r="S782" t="s">
        <v>146</v>
      </c>
      <c r="U782" s="8" t="s">
        <v>1687</v>
      </c>
      <c r="V782" t="s">
        <v>1688</v>
      </c>
      <c r="W782" t="s">
        <v>170</v>
      </c>
      <c r="X782" t="s">
        <v>965</v>
      </c>
      <c r="Y782" t="s">
        <v>966</v>
      </c>
      <c r="Z782" t="s">
        <v>1689</v>
      </c>
      <c r="AA782" t="s">
        <v>1690</v>
      </c>
      <c r="AB782" t="s">
        <v>1691</v>
      </c>
      <c r="AC782" t="s">
        <v>1692</v>
      </c>
      <c r="AD782" t="s">
        <v>132</v>
      </c>
      <c r="AE782" t="s">
        <v>316</v>
      </c>
      <c r="AF782" t="s">
        <v>260</v>
      </c>
      <c r="AG782" t="s">
        <v>102</v>
      </c>
      <c r="AH782" t="s">
        <v>102</v>
      </c>
      <c r="AI782" t="s">
        <v>134</v>
      </c>
      <c r="AJ782" t="s">
        <v>135</v>
      </c>
      <c r="AM782" t="s">
        <v>136</v>
      </c>
      <c r="AN782" t="s">
        <v>106</v>
      </c>
      <c r="AV782">
        <f>4+120+21</f>
        <v>145</v>
      </c>
      <c r="AW782" t="s">
        <v>108</v>
      </c>
      <c r="AX782">
        <v>28</v>
      </c>
      <c r="AY782" t="s">
        <v>103</v>
      </c>
      <c r="AZ782" t="s">
        <v>109</v>
      </c>
      <c r="BA782" t="s">
        <v>110</v>
      </c>
      <c r="BB782">
        <v>20</v>
      </c>
      <c r="BC782">
        <v>24</v>
      </c>
      <c r="BE782" t="s">
        <v>139</v>
      </c>
      <c r="BF782">
        <v>21</v>
      </c>
      <c r="BG782">
        <v>1</v>
      </c>
      <c r="BN782">
        <f>(32+34)/2</f>
        <v>33</v>
      </c>
      <c r="BO782">
        <f>(7.75+8.16)/2</f>
        <v>7.9550000000000001</v>
      </c>
      <c r="BP782">
        <v>12</v>
      </c>
      <c r="BR782" t="s">
        <v>69</v>
      </c>
      <c r="BT782" t="s">
        <v>452</v>
      </c>
      <c r="BU782" t="s">
        <v>1693</v>
      </c>
      <c r="BV782">
        <v>39.086379999999998</v>
      </c>
      <c r="BW782" t="s">
        <v>454</v>
      </c>
      <c r="BX782">
        <v>20</v>
      </c>
      <c r="BY782">
        <v>40.132890000000003</v>
      </c>
      <c r="BZ782" t="s">
        <v>454</v>
      </c>
      <c r="CA782">
        <v>20</v>
      </c>
      <c r="CB782" t="s">
        <v>113</v>
      </c>
      <c r="CC782" t="s">
        <v>1694</v>
      </c>
    </row>
    <row r="783" spans="1:81" x14ac:dyDescent="0.25">
      <c r="A783" t="s">
        <v>81</v>
      </c>
      <c r="B783">
        <v>782</v>
      </c>
      <c r="C783">
        <v>142</v>
      </c>
      <c r="D783">
        <v>131</v>
      </c>
      <c r="E783">
        <v>173</v>
      </c>
      <c r="F783">
        <v>184</v>
      </c>
      <c r="G783">
        <v>461</v>
      </c>
      <c r="H783">
        <v>672</v>
      </c>
      <c r="I783" t="s">
        <v>1683</v>
      </c>
      <c r="J783" t="s">
        <v>338</v>
      </c>
      <c r="L783" t="s">
        <v>1684</v>
      </c>
      <c r="M783" t="s">
        <v>85</v>
      </c>
      <c r="O783" t="s">
        <v>14</v>
      </c>
      <c r="P783" t="s">
        <v>1685</v>
      </c>
      <c r="Q783" t="s">
        <v>1686</v>
      </c>
      <c r="R783">
        <v>2018</v>
      </c>
      <c r="S783" t="s">
        <v>146</v>
      </c>
      <c r="U783" s="8" t="s">
        <v>1687</v>
      </c>
      <c r="V783" t="s">
        <v>1688</v>
      </c>
      <c r="W783" t="s">
        <v>170</v>
      </c>
      <c r="X783" t="s">
        <v>965</v>
      </c>
      <c r="Y783" t="s">
        <v>966</v>
      </c>
      <c r="Z783" t="s">
        <v>1689</v>
      </c>
      <c r="AA783" t="s">
        <v>1690</v>
      </c>
      <c r="AB783" t="s">
        <v>1691</v>
      </c>
      <c r="AC783" t="s">
        <v>1692</v>
      </c>
      <c r="AD783" t="s">
        <v>132</v>
      </c>
      <c r="AE783" t="s">
        <v>316</v>
      </c>
      <c r="AF783" t="s">
        <v>260</v>
      </c>
      <c r="AG783" t="s">
        <v>102</v>
      </c>
      <c r="AH783" t="s">
        <v>102</v>
      </c>
      <c r="AI783" t="s">
        <v>134</v>
      </c>
      <c r="AJ783" t="s">
        <v>135</v>
      </c>
      <c r="AM783" t="s">
        <v>136</v>
      </c>
      <c r="AN783" t="s">
        <v>106</v>
      </c>
      <c r="AV783">
        <f>4+120+21</f>
        <v>145</v>
      </c>
      <c r="AW783" t="s">
        <v>108</v>
      </c>
      <c r="AX783">
        <v>28</v>
      </c>
      <c r="AY783" t="s">
        <v>134</v>
      </c>
      <c r="AZ783" t="s">
        <v>109</v>
      </c>
      <c r="BA783" t="s">
        <v>110</v>
      </c>
      <c r="BB783">
        <v>24</v>
      </c>
      <c r="BC783">
        <v>28</v>
      </c>
      <c r="BE783" t="s">
        <v>139</v>
      </c>
      <c r="BF783">
        <v>21</v>
      </c>
      <c r="BG783">
        <v>1</v>
      </c>
      <c r="BN783">
        <f>(32+34)/2</f>
        <v>33</v>
      </c>
      <c r="BO783">
        <f>(7.75+8.16)/2</f>
        <v>7.9550000000000001</v>
      </c>
      <c r="BP783">
        <v>12</v>
      </c>
      <c r="BR783" t="s">
        <v>69</v>
      </c>
      <c r="BS783" t="s">
        <v>515</v>
      </c>
      <c r="BT783" t="s">
        <v>452</v>
      </c>
      <c r="BU783" t="s">
        <v>1695</v>
      </c>
      <c r="BV783">
        <v>40.132890000000003</v>
      </c>
      <c r="BW783" t="s">
        <v>454</v>
      </c>
      <c r="BX783">
        <v>20</v>
      </c>
      <c r="BY783">
        <v>41.179400000000001</v>
      </c>
      <c r="BZ783" t="s">
        <v>454</v>
      </c>
      <c r="CA783">
        <v>20</v>
      </c>
      <c r="CB783" t="s">
        <v>113</v>
      </c>
      <c r="CC783" t="s">
        <v>1694</v>
      </c>
    </row>
    <row r="784" spans="1:81" x14ac:dyDescent="0.25">
      <c r="A784" t="s">
        <v>81</v>
      </c>
      <c r="B784">
        <v>783</v>
      </c>
      <c r="C784">
        <v>142</v>
      </c>
      <c r="D784">
        <v>131</v>
      </c>
      <c r="E784">
        <v>173</v>
      </c>
      <c r="F784">
        <v>184</v>
      </c>
      <c r="G784">
        <v>461</v>
      </c>
      <c r="H784">
        <v>673</v>
      </c>
      <c r="I784" t="s">
        <v>1683</v>
      </c>
      <c r="J784" t="s">
        <v>338</v>
      </c>
      <c r="L784" t="s">
        <v>1684</v>
      </c>
      <c r="M784" t="s">
        <v>85</v>
      </c>
      <c r="O784" t="s">
        <v>14</v>
      </c>
      <c r="P784" t="s">
        <v>1685</v>
      </c>
      <c r="Q784" t="s">
        <v>1686</v>
      </c>
      <c r="R784">
        <v>2018</v>
      </c>
      <c r="S784" t="s">
        <v>146</v>
      </c>
      <c r="U784" s="8" t="s">
        <v>1687</v>
      </c>
      <c r="V784" t="s">
        <v>1688</v>
      </c>
      <c r="W784" t="s">
        <v>170</v>
      </c>
      <c r="X784" t="s">
        <v>965</v>
      </c>
      <c r="Y784" t="s">
        <v>966</v>
      </c>
      <c r="Z784" t="s">
        <v>1689</v>
      </c>
      <c r="AA784" t="s">
        <v>1690</v>
      </c>
      <c r="AB784" t="s">
        <v>1691</v>
      </c>
      <c r="AC784" t="s">
        <v>1692</v>
      </c>
      <c r="AD784" t="s">
        <v>132</v>
      </c>
      <c r="AE784" t="s">
        <v>316</v>
      </c>
      <c r="AF784" t="s">
        <v>260</v>
      </c>
      <c r="AG784" t="s">
        <v>102</v>
      </c>
      <c r="AH784" t="s">
        <v>102</v>
      </c>
      <c r="AI784" t="s">
        <v>134</v>
      </c>
      <c r="AJ784" t="s">
        <v>135</v>
      </c>
      <c r="AM784" t="s">
        <v>136</v>
      </c>
      <c r="AN784" t="s">
        <v>106</v>
      </c>
      <c r="AV784">
        <f>4+120+21</f>
        <v>145</v>
      </c>
      <c r="AW784" t="s">
        <v>108</v>
      </c>
      <c r="AX784">
        <v>28</v>
      </c>
      <c r="AY784" t="s">
        <v>134</v>
      </c>
      <c r="AZ784" t="s">
        <v>109</v>
      </c>
      <c r="BA784" t="s">
        <v>110</v>
      </c>
      <c r="BB784">
        <v>28</v>
      </c>
      <c r="BC784">
        <v>32</v>
      </c>
      <c r="BE784" t="s">
        <v>139</v>
      </c>
      <c r="BF784">
        <v>21</v>
      </c>
      <c r="BG784">
        <v>1</v>
      </c>
      <c r="BN784">
        <f>(32+34)/2</f>
        <v>33</v>
      </c>
      <c r="BO784">
        <f>(7.75+8.16)/2</f>
        <v>7.9550000000000001</v>
      </c>
      <c r="BP784">
        <v>12</v>
      </c>
      <c r="BR784" t="s">
        <v>69</v>
      </c>
      <c r="BS784" t="s">
        <v>515</v>
      </c>
      <c r="BT784" t="s">
        <v>452</v>
      </c>
      <c r="BU784" t="s">
        <v>1695</v>
      </c>
      <c r="BV784">
        <v>41.179400000000001</v>
      </c>
      <c r="BW784" t="s">
        <v>454</v>
      </c>
      <c r="BX784">
        <v>20</v>
      </c>
      <c r="BY784">
        <v>43.122920000000001</v>
      </c>
      <c r="BZ784" t="s">
        <v>454</v>
      </c>
      <c r="CA784">
        <v>20</v>
      </c>
      <c r="CB784" t="s">
        <v>113</v>
      </c>
      <c r="CC784" t="s">
        <v>1694</v>
      </c>
    </row>
    <row r="785" spans="1:81" x14ac:dyDescent="0.25">
      <c r="A785" t="s">
        <v>81</v>
      </c>
      <c r="B785">
        <v>784</v>
      </c>
      <c r="C785">
        <v>142</v>
      </c>
      <c r="D785">
        <v>131</v>
      </c>
      <c r="E785">
        <v>173</v>
      </c>
      <c r="F785">
        <v>184</v>
      </c>
      <c r="G785">
        <v>461</v>
      </c>
      <c r="H785">
        <v>674</v>
      </c>
      <c r="I785" t="s">
        <v>1683</v>
      </c>
      <c r="J785" t="s">
        <v>338</v>
      </c>
      <c r="L785" t="s">
        <v>1684</v>
      </c>
      <c r="M785" t="s">
        <v>85</v>
      </c>
      <c r="O785" t="s">
        <v>14</v>
      </c>
      <c r="P785" t="s">
        <v>1685</v>
      </c>
      <c r="Q785" t="s">
        <v>1686</v>
      </c>
      <c r="R785">
        <v>2018</v>
      </c>
      <c r="S785" t="s">
        <v>146</v>
      </c>
      <c r="U785" s="8" t="s">
        <v>1687</v>
      </c>
      <c r="V785" t="s">
        <v>1688</v>
      </c>
      <c r="W785" t="s">
        <v>170</v>
      </c>
      <c r="X785" t="s">
        <v>965</v>
      </c>
      <c r="Y785" t="s">
        <v>966</v>
      </c>
      <c r="Z785" t="s">
        <v>1689</v>
      </c>
      <c r="AA785" t="s">
        <v>1690</v>
      </c>
      <c r="AB785" t="s">
        <v>1691</v>
      </c>
      <c r="AC785" t="s">
        <v>1692</v>
      </c>
      <c r="AD785" t="s">
        <v>132</v>
      </c>
      <c r="AE785" t="s">
        <v>316</v>
      </c>
      <c r="AF785" t="s">
        <v>260</v>
      </c>
      <c r="AG785" t="s">
        <v>102</v>
      </c>
      <c r="AH785" t="s">
        <v>102</v>
      </c>
      <c r="AI785" t="s">
        <v>134</v>
      </c>
      <c r="AJ785" t="s">
        <v>135</v>
      </c>
      <c r="AM785" t="s">
        <v>136</v>
      </c>
      <c r="AN785" t="s">
        <v>106</v>
      </c>
      <c r="AV785">
        <f>4+120+21</f>
        <v>145</v>
      </c>
      <c r="AW785" t="s">
        <v>108</v>
      </c>
      <c r="AX785">
        <v>28</v>
      </c>
      <c r="AY785" t="s">
        <v>103</v>
      </c>
      <c r="AZ785" t="s">
        <v>109</v>
      </c>
      <c r="BA785" t="s">
        <v>110</v>
      </c>
      <c r="BB785">
        <v>32</v>
      </c>
      <c r="BC785">
        <v>36</v>
      </c>
      <c r="BE785" t="s">
        <v>139</v>
      </c>
      <c r="BF785">
        <v>21</v>
      </c>
      <c r="BG785">
        <v>1</v>
      </c>
      <c r="BN785">
        <f>(32+34)/2</f>
        <v>33</v>
      </c>
      <c r="BO785">
        <f>(7.75+8.16)/2</f>
        <v>7.9550000000000001</v>
      </c>
      <c r="BP785">
        <v>12</v>
      </c>
      <c r="BR785" t="s">
        <v>69</v>
      </c>
      <c r="BT785" t="s">
        <v>452</v>
      </c>
      <c r="BU785" t="s">
        <v>1693</v>
      </c>
      <c r="BV785">
        <v>43.122920000000001</v>
      </c>
      <c r="BW785" t="s">
        <v>454</v>
      </c>
      <c r="BX785">
        <v>20</v>
      </c>
      <c r="BY785">
        <v>44.169440000000002</v>
      </c>
      <c r="BZ785" t="s">
        <v>454</v>
      </c>
      <c r="CA785">
        <v>20</v>
      </c>
      <c r="CB785" t="s">
        <v>113</v>
      </c>
      <c r="CC785" t="s">
        <v>1694</v>
      </c>
    </row>
    <row r="786" spans="1:81" x14ac:dyDescent="0.25">
      <c r="A786" t="s">
        <v>81</v>
      </c>
      <c r="B786">
        <v>785</v>
      </c>
      <c r="C786">
        <v>143</v>
      </c>
      <c r="D786">
        <v>132</v>
      </c>
      <c r="E786">
        <v>174</v>
      </c>
      <c r="F786">
        <v>185</v>
      </c>
      <c r="G786">
        <v>462</v>
      </c>
      <c r="H786">
        <v>675</v>
      </c>
      <c r="I786" t="s">
        <v>1683</v>
      </c>
      <c r="J786" t="s">
        <v>143</v>
      </c>
      <c r="M786" t="s">
        <v>85</v>
      </c>
      <c r="O786" t="s">
        <v>14</v>
      </c>
      <c r="P786" t="s">
        <v>1696</v>
      </c>
      <c r="Q786" t="s">
        <v>1697</v>
      </c>
      <c r="R786">
        <v>2020</v>
      </c>
      <c r="S786" t="s">
        <v>1698</v>
      </c>
      <c r="U786" s="9" t="s">
        <v>1699</v>
      </c>
      <c r="V786" t="s">
        <v>1700</v>
      </c>
      <c r="W786" t="s">
        <v>170</v>
      </c>
      <c r="X786" t="s">
        <v>965</v>
      </c>
      <c r="Y786" t="s">
        <v>1701</v>
      </c>
      <c r="Z786" t="s">
        <v>1702</v>
      </c>
      <c r="AA786" t="s">
        <v>1703</v>
      </c>
      <c r="AB786" t="s">
        <v>1704</v>
      </c>
      <c r="AC786" t="s">
        <v>1705</v>
      </c>
      <c r="AD786" t="s">
        <v>132</v>
      </c>
      <c r="AE786" t="s">
        <v>316</v>
      </c>
      <c r="AF786" t="s">
        <v>260</v>
      </c>
      <c r="AG786" t="s">
        <v>261</v>
      </c>
      <c r="AH786" t="s">
        <v>262</v>
      </c>
      <c r="AI786" t="s">
        <v>134</v>
      </c>
      <c r="AJ786" t="s">
        <v>135</v>
      </c>
      <c r="AM786" t="s">
        <v>178</v>
      </c>
      <c r="AN786" t="s">
        <v>106</v>
      </c>
      <c r="AO786">
        <v>-33.848444444400002</v>
      </c>
      <c r="AP786">
        <v>151.26835555560001</v>
      </c>
      <c r="AQ786">
        <v>-2</v>
      </c>
      <c r="AR786" t="s">
        <v>439</v>
      </c>
      <c r="AS786">
        <v>2018</v>
      </c>
      <c r="AW786" t="s">
        <v>578</v>
      </c>
      <c r="AZ786" t="s">
        <v>212</v>
      </c>
      <c r="BA786" t="s">
        <v>142</v>
      </c>
      <c r="BB786">
        <v>17</v>
      </c>
      <c r="BC786">
        <v>23</v>
      </c>
      <c r="BE786" t="s">
        <v>139</v>
      </c>
      <c r="BF786">
        <v>42</v>
      </c>
      <c r="BH786">
        <v>5</v>
      </c>
      <c r="BI786">
        <v>12</v>
      </c>
      <c r="BJ786">
        <v>1</v>
      </c>
      <c r="BK786">
        <v>5</v>
      </c>
      <c r="BP786">
        <v>12</v>
      </c>
      <c r="BT786" t="s">
        <v>452</v>
      </c>
      <c r="BU786" t="s">
        <v>1706</v>
      </c>
      <c r="BV786">
        <v>29.6</v>
      </c>
      <c r="BW786" t="s">
        <v>454</v>
      </c>
      <c r="BX786">
        <v>12</v>
      </c>
      <c r="BY786">
        <v>30.4</v>
      </c>
      <c r="BZ786" t="s">
        <v>454</v>
      </c>
      <c r="CA786">
        <v>12</v>
      </c>
      <c r="CB786" t="s">
        <v>215</v>
      </c>
      <c r="CC786" t="s">
        <v>1707</v>
      </c>
    </row>
    <row r="787" spans="1:81" x14ac:dyDescent="0.25">
      <c r="A787" t="s">
        <v>81</v>
      </c>
      <c r="B787">
        <v>786</v>
      </c>
      <c r="C787">
        <v>144</v>
      </c>
      <c r="D787">
        <v>133</v>
      </c>
      <c r="E787">
        <v>175</v>
      </c>
      <c r="F787">
        <v>186</v>
      </c>
      <c r="G787">
        <v>463</v>
      </c>
      <c r="H787">
        <v>676</v>
      </c>
      <c r="I787" t="s">
        <v>1683</v>
      </c>
      <c r="J787" t="s">
        <v>197</v>
      </c>
      <c r="M787" t="s">
        <v>85</v>
      </c>
      <c r="O787" t="s">
        <v>14</v>
      </c>
      <c r="P787" t="s">
        <v>1708</v>
      </c>
      <c r="Q787" t="s">
        <v>1709</v>
      </c>
      <c r="R787">
        <v>1999</v>
      </c>
      <c r="S787" t="s">
        <v>505</v>
      </c>
      <c r="V787" t="s">
        <v>1710</v>
      </c>
      <c r="W787" t="s">
        <v>1380</v>
      </c>
      <c r="X787" t="s">
        <v>1711</v>
      </c>
      <c r="Y787" t="s">
        <v>1712</v>
      </c>
      <c r="Z787" t="s">
        <v>1713</v>
      </c>
      <c r="AA787" t="s">
        <v>1714</v>
      </c>
      <c r="AB787" t="s">
        <v>1715</v>
      </c>
      <c r="AC787" t="s">
        <v>1716</v>
      </c>
      <c r="AD787" t="s">
        <v>132</v>
      </c>
      <c r="AE787" t="s">
        <v>316</v>
      </c>
      <c r="AF787" t="s">
        <v>100</v>
      </c>
      <c r="AG787" t="s">
        <v>102</v>
      </c>
      <c r="AH787" t="s">
        <v>102</v>
      </c>
      <c r="AI787" t="s">
        <v>134</v>
      </c>
      <c r="AJ787" t="s">
        <v>104</v>
      </c>
      <c r="AM787" t="s">
        <v>136</v>
      </c>
      <c r="AN787" t="s">
        <v>700</v>
      </c>
      <c r="AT787">
        <v>12.68</v>
      </c>
      <c r="AU787">
        <v>0.216</v>
      </c>
      <c r="AW787" t="s">
        <v>108</v>
      </c>
      <c r="AX787">
        <v>25</v>
      </c>
      <c r="AY787" t="s">
        <v>134</v>
      </c>
      <c r="AZ787" t="s">
        <v>109</v>
      </c>
      <c r="BA787" t="s">
        <v>180</v>
      </c>
      <c r="BB787">
        <v>20</v>
      </c>
      <c r="BC787">
        <v>25</v>
      </c>
      <c r="BE787" t="s">
        <v>139</v>
      </c>
      <c r="BF787">
        <v>7</v>
      </c>
      <c r="BG787">
        <f t="shared" ref="BG787:BG792" si="38">1/60</f>
        <v>1.6666666666666666E-2</v>
      </c>
      <c r="BN787">
        <v>25</v>
      </c>
      <c r="BR787" t="s">
        <v>69</v>
      </c>
      <c r="BS787" t="s">
        <v>265</v>
      </c>
      <c r="BT787" t="s">
        <v>452</v>
      </c>
      <c r="BU787" t="s">
        <v>1717</v>
      </c>
      <c r="BV787">
        <v>36.5</v>
      </c>
      <c r="BW787" t="s">
        <v>454</v>
      </c>
      <c r="BX787">
        <v>20</v>
      </c>
      <c r="BY787">
        <v>36.9</v>
      </c>
      <c r="BZ787" t="s">
        <v>454</v>
      </c>
      <c r="CA787">
        <v>20</v>
      </c>
      <c r="CB787" t="s">
        <v>113</v>
      </c>
      <c r="CC787" t="s">
        <v>1718</v>
      </c>
    </row>
    <row r="788" spans="1:81" x14ac:dyDescent="0.25">
      <c r="A788" t="s">
        <v>81</v>
      </c>
      <c r="B788">
        <v>787</v>
      </c>
      <c r="C788">
        <v>144</v>
      </c>
      <c r="D788">
        <v>133</v>
      </c>
      <c r="E788">
        <v>175</v>
      </c>
      <c r="F788">
        <v>186</v>
      </c>
      <c r="G788">
        <v>463</v>
      </c>
      <c r="H788">
        <v>677</v>
      </c>
      <c r="I788" t="s">
        <v>1683</v>
      </c>
      <c r="J788" t="s">
        <v>197</v>
      </c>
      <c r="M788" t="s">
        <v>85</v>
      </c>
      <c r="O788" t="s">
        <v>14</v>
      </c>
      <c r="P788" t="s">
        <v>1708</v>
      </c>
      <c r="Q788" t="s">
        <v>1709</v>
      </c>
      <c r="R788">
        <v>1999</v>
      </c>
      <c r="S788" t="s">
        <v>505</v>
      </c>
      <c r="V788" t="s">
        <v>1710</v>
      </c>
      <c r="W788" t="s">
        <v>1380</v>
      </c>
      <c r="X788" t="s">
        <v>1711</v>
      </c>
      <c r="Y788" t="s">
        <v>1712</v>
      </c>
      <c r="Z788" t="s">
        <v>1713</v>
      </c>
      <c r="AA788" t="s">
        <v>1714</v>
      </c>
      <c r="AB788" t="s">
        <v>1715</v>
      </c>
      <c r="AC788" t="s">
        <v>1716</v>
      </c>
      <c r="AD788" t="s">
        <v>132</v>
      </c>
      <c r="AE788" t="s">
        <v>316</v>
      </c>
      <c r="AF788" t="s">
        <v>100</v>
      </c>
      <c r="AG788" t="s">
        <v>102</v>
      </c>
      <c r="AH788" t="s">
        <v>102</v>
      </c>
      <c r="AI788" t="s">
        <v>134</v>
      </c>
      <c r="AJ788" t="s">
        <v>104</v>
      </c>
      <c r="AM788" t="s">
        <v>136</v>
      </c>
      <c r="AN788" t="s">
        <v>700</v>
      </c>
      <c r="AT788">
        <v>12.68</v>
      </c>
      <c r="AU788">
        <v>0.216</v>
      </c>
      <c r="AW788" t="s">
        <v>108</v>
      </c>
      <c r="AX788">
        <v>25</v>
      </c>
      <c r="AY788" t="s">
        <v>134</v>
      </c>
      <c r="AZ788" t="s">
        <v>109</v>
      </c>
      <c r="BA788" t="s">
        <v>180</v>
      </c>
      <c r="BB788">
        <v>25</v>
      </c>
      <c r="BC788">
        <v>30</v>
      </c>
      <c r="BE788" t="s">
        <v>139</v>
      </c>
      <c r="BF788">
        <v>7</v>
      </c>
      <c r="BG788">
        <f t="shared" si="38"/>
        <v>1.6666666666666666E-2</v>
      </c>
      <c r="BN788">
        <v>25</v>
      </c>
      <c r="BR788" t="s">
        <v>69</v>
      </c>
      <c r="BS788" t="s">
        <v>265</v>
      </c>
      <c r="BT788" t="s">
        <v>452</v>
      </c>
      <c r="BU788" t="s">
        <v>1717</v>
      </c>
      <c r="BV788">
        <v>36.9</v>
      </c>
      <c r="BW788" t="s">
        <v>454</v>
      </c>
      <c r="BX788">
        <v>20</v>
      </c>
      <c r="BY788">
        <v>39.6</v>
      </c>
      <c r="BZ788" t="s">
        <v>454</v>
      </c>
      <c r="CA788">
        <v>20</v>
      </c>
      <c r="CB788" t="s">
        <v>113</v>
      </c>
      <c r="CC788" t="s">
        <v>1718</v>
      </c>
    </row>
    <row r="789" spans="1:81" x14ac:dyDescent="0.25">
      <c r="A789" t="s">
        <v>81</v>
      </c>
      <c r="B789">
        <v>788</v>
      </c>
      <c r="C789">
        <v>144</v>
      </c>
      <c r="D789">
        <v>133</v>
      </c>
      <c r="E789">
        <v>175</v>
      </c>
      <c r="F789">
        <v>186</v>
      </c>
      <c r="G789">
        <v>464</v>
      </c>
      <c r="H789">
        <v>678</v>
      </c>
      <c r="I789" t="s">
        <v>1683</v>
      </c>
      <c r="J789" t="s">
        <v>197</v>
      </c>
      <c r="M789" t="s">
        <v>85</v>
      </c>
      <c r="O789" t="s">
        <v>14</v>
      </c>
      <c r="P789" t="s">
        <v>1708</v>
      </c>
      <c r="Q789" t="s">
        <v>1709</v>
      </c>
      <c r="R789">
        <v>1999</v>
      </c>
      <c r="S789" t="s">
        <v>505</v>
      </c>
      <c r="V789" t="s">
        <v>1710</v>
      </c>
      <c r="W789" t="s">
        <v>1380</v>
      </c>
      <c r="X789" t="s">
        <v>1711</v>
      </c>
      <c r="Y789" t="s">
        <v>1712</v>
      </c>
      <c r="Z789" t="s">
        <v>1713</v>
      </c>
      <c r="AA789" t="s">
        <v>1714</v>
      </c>
      <c r="AB789" t="s">
        <v>1715</v>
      </c>
      <c r="AC789" t="s">
        <v>1716</v>
      </c>
      <c r="AD789" t="s">
        <v>132</v>
      </c>
      <c r="AE789" t="s">
        <v>316</v>
      </c>
      <c r="AF789" t="s">
        <v>100</v>
      </c>
      <c r="AG789" t="s">
        <v>102</v>
      </c>
      <c r="AH789" t="s">
        <v>102</v>
      </c>
      <c r="AI789" t="s">
        <v>134</v>
      </c>
      <c r="AJ789" t="s">
        <v>104</v>
      </c>
      <c r="AM789" t="s">
        <v>136</v>
      </c>
      <c r="AN789" t="s">
        <v>700</v>
      </c>
      <c r="AT789">
        <v>12.68</v>
      </c>
      <c r="AU789">
        <v>0.216</v>
      </c>
      <c r="AW789" t="s">
        <v>108</v>
      </c>
      <c r="AX789">
        <v>25</v>
      </c>
      <c r="AY789" t="s">
        <v>134</v>
      </c>
      <c r="AZ789" t="s">
        <v>109</v>
      </c>
      <c r="BA789" t="s">
        <v>180</v>
      </c>
      <c r="BB789">
        <v>20</v>
      </c>
      <c r="BC789">
        <v>25</v>
      </c>
      <c r="BE789" t="s">
        <v>139</v>
      </c>
      <c r="BF789">
        <v>7</v>
      </c>
      <c r="BG789">
        <f t="shared" si="38"/>
        <v>1.6666666666666666E-2</v>
      </c>
      <c r="BN789">
        <v>30</v>
      </c>
      <c r="BR789" t="s">
        <v>69</v>
      </c>
      <c r="BS789" t="s">
        <v>265</v>
      </c>
      <c r="BT789" t="s">
        <v>452</v>
      </c>
      <c r="BU789" t="s">
        <v>1717</v>
      </c>
      <c r="BV789">
        <v>36.200000000000003</v>
      </c>
      <c r="BW789" t="s">
        <v>454</v>
      </c>
      <c r="BX789">
        <v>20</v>
      </c>
      <c r="BY789">
        <v>36.5</v>
      </c>
      <c r="BZ789" t="s">
        <v>454</v>
      </c>
      <c r="CA789">
        <v>20</v>
      </c>
      <c r="CB789" t="s">
        <v>113</v>
      </c>
      <c r="CC789" t="s">
        <v>1718</v>
      </c>
    </row>
    <row r="790" spans="1:81" x14ac:dyDescent="0.25">
      <c r="A790" t="s">
        <v>81</v>
      </c>
      <c r="B790">
        <v>789</v>
      </c>
      <c r="C790">
        <v>144</v>
      </c>
      <c r="D790">
        <v>133</v>
      </c>
      <c r="E790">
        <v>175</v>
      </c>
      <c r="F790">
        <v>186</v>
      </c>
      <c r="G790">
        <v>464</v>
      </c>
      <c r="H790">
        <v>679</v>
      </c>
      <c r="I790" t="s">
        <v>1683</v>
      </c>
      <c r="J790" t="s">
        <v>197</v>
      </c>
      <c r="M790" t="s">
        <v>85</v>
      </c>
      <c r="O790" t="s">
        <v>14</v>
      </c>
      <c r="P790" t="s">
        <v>1708</v>
      </c>
      <c r="Q790" t="s">
        <v>1709</v>
      </c>
      <c r="R790">
        <v>1999</v>
      </c>
      <c r="S790" t="s">
        <v>505</v>
      </c>
      <c r="V790" t="s">
        <v>1710</v>
      </c>
      <c r="W790" t="s">
        <v>1380</v>
      </c>
      <c r="X790" t="s">
        <v>1711</v>
      </c>
      <c r="Y790" t="s">
        <v>1712</v>
      </c>
      <c r="Z790" t="s">
        <v>1713</v>
      </c>
      <c r="AA790" t="s">
        <v>1714</v>
      </c>
      <c r="AB790" t="s">
        <v>1715</v>
      </c>
      <c r="AC790" t="s">
        <v>1716</v>
      </c>
      <c r="AD790" t="s">
        <v>132</v>
      </c>
      <c r="AE790" t="s">
        <v>316</v>
      </c>
      <c r="AF790" t="s">
        <v>100</v>
      </c>
      <c r="AG790" t="s">
        <v>102</v>
      </c>
      <c r="AH790" t="s">
        <v>102</v>
      </c>
      <c r="AI790" t="s">
        <v>134</v>
      </c>
      <c r="AJ790" t="s">
        <v>104</v>
      </c>
      <c r="AM790" t="s">
        <v>136</v>
      </c>
      <c r="AN790" t="s">
        <v>700</v>
      </c>
      <c r="AT790">
        <v>12.68</v>
      </c>
      <c r="AU790">
        <v>0.216</v>
      </c>
      <c r="AW790" t="s">
        <v>108</v>
      </c>
      <c r="AX790">
        <v>25</v>
      </c>
      <c r="AY790" t="s">
        <v>134</v>
      </c>
      <c r="AZ790" t="s">
        <v>109</v>
      </c>
      <c r="BA790" t="s">
        <v>180</v>
      </c>
      <c r="BB790">
        <v>25</v>
      </c>
      <c r="BC790">
        <v>30</v>
      </c>
      <c r="BE790" t="s">
        <v>139</v>
      </c>
      <c r="BF790">
        <v>7</v>
      </c>
      <c r="BG790">
        <f t="shared" si="38"/>
        <v>1.6666666666666666E-2</v>
      </c>
      <c r="BN790">
        <v>30</v>
      </c>
      <c r="BR790" t="s">
        <v>69</v>
      </c>
      <c r="BS790" t="s">
        <v>265</v>
      </c>
      <c r="BT790" t="s">
        <v>452</v>
      </c>
      <c r="BU790" t="s">
        <v>1717</v>
      </c>
      <c r="BV790">
        <v>36.5</v>
      </c>
      <c r="BW790" t="s">
        <v>454</v>
      </c>
      <c r="BX790">
        <v>20</v>
      </c>
      <c r="BY790">
        <v>38.700000000000003</v>
      </c>
      <c r="BZ790" t="s">
        <v>454</v>
      </c>
      <c r="CA790">
        <v>20</v>
      </c>
      <c r="CB790" t="s">
        <v>113</v>
      </c>
      <c r="CC790" t="s">
        <v>1718</v>
      </c>
    </row>
    <row r="791" spans="1:81" x14ac:dyDescent="0.25">
      <c r="A791" t="s">
        <v>81</v>
      </c>
      <c r="B791">
        <v>790</v>
      </c>
      <c r="C791">
        <v>144</v>
      </c>
      <c r="D791">
        <v>133</v>
      </c>
      <c r="E791">
        <v>175</v>
      </c>
      <c r="F791">
        <v>186</v>
      </c>
      <c r="G791">
        <v>465</v>
      </c>
      <c r="H791">
        <v>680</v>
      </c>
      <c r="I791" t="s">
        <v>1683</v>
      </c>
      <c r="J791" t="s">
        <v>197</v>
      </c>
      <c r="M791" t="s">
        <v>85</v>
      </c>
      <c r="O791" t="s">
        <v>14</v>
      </c>
      <c r="P791" t="s">
        <v>1708</v>
      </c>
      <c r="Q791" t="s">
        <v>1709</v>
      </c>
      <c r="R791">
        <v>1999</v>
      </c>
      <c r="S791" t="s">
        <v>505</v>
      </c>
      <c r="V791" t="s">
        <v>1710</v>
      </c>
      <c r="W791" t="s">
        <v>1380</v>
      </c>
      <c r="X791" t="s">
        <v>1711</v>
      </c>
      <c r="Y791" t="s">
        <v>1712</v>
      </c>
      <c r="Z791" t="s">
        <v>1713</v>
      </c>
      <c r="AA791" t="s">
        <v>1714</v>
      </c>
      <c r="AB791" t="s">
        <v>1715</v>
      </c>
      <c r="AC791" t="s">
        <v>1716</v>
      </c>
      <c r="AD791" t="s">
        <v>132</v>
      </c>
      <c r="AE791" t="s">
        <v>316</v>
      </c>
      <c r="AF791" t="s">
        <v>100</v>
      </c>
      <c r="AG791" t="s">
        <v>102</v>
      </c>
      <c r="AH791" t="s">
        <v>102</v>
      </c>
      <c r="AI791" t="s">
        <v>134</v>
      </c>
      <c r="AJ791" t="s">
        <v>104</v>
      </c>
      <c r="AM791" t="s">
        <v>136</v>
      </c>
      <c r="AN791" t="s">
        <v>700</v>
      </c>
      <c r="AT791">
        <v>12.68</v>
      </c>
      <c r="AU791">
        <v>0.216</v>
      </c>
      <c r="AW791" t="s">
        <v>108</v>
      </c>
      <c r="AX791">
        <v>25</v>
      </c>
      <c r="AY791" t="s">
        <v>134</v>
      </c>
      <c r="AZ791" t="s">
        <v>109</v>
      </c>
      <c r="BA791" t="s">
        <v>180</v>
      </c>
      <c r="BB791">
        <v>20</v>
      </c>
      <c r="BC791">
        <v>25</v>
      </c>
      <c r="BE791" t="s">
        <v>139</v>
      </c>
      <c r="BF791">
        <v>7</v>
      </c>
      <c r="BG791">
        <f t="shared" si="38"/>
        <v>1.6666666666666666E-2</v>
      </c>
      <c r="BN791">
        <v>35</v>
      </c>
      <c r="BR791" t="s">
        <v>69</v>
      </c>
      <c r="BS791" t="s">
        <v>265</v>
      </c>
      <c r="BT791" t="s">
        <v>452</v>
      </c>
      <c r="BU791" t="s">
        <v>1717</v>
      </c>
      <c r="BV791">
        <v>35.9</v>
      </c>
      <c r="BW791" t="s">
        <v>454</v>
      </c>
      <c r="BX791">
        <v>20</v>
      </c>
      <c r="BY791">
        <v>36.200000000000003</v>
      </c>
      <c r="BZ791" t="s">
        <v>454</v>
      </c>
      <c r="CA791">
        <v>20</v>
      </c>
      <c r="CB791" t="s">
        <v>113</v>
      </c>
      <c r="CC791" t="s">
        <v>1718</v>
      </c>
    </row>
    <row r="792" spans="1:81" x14ac:dyDescent="0.25">
      <c r="A792" t="s">
        <v>81</v>
      </c>
      <c r="B792">
        <v>791</v>
      </c>
      <c r="C792">
        <v>144</v>
      </c>
      <c r="D792">
        <v>133</v>
      </c>
      <c r="E792">
        <v>175</v>
      </c>
      <c r="F792">
        <v>186</v>
      </c>
      <c r="G792">
        <v>465</v>
      </c>
      <c r="H792">
        <v>681</v>
      </c>
      <c r="I792" t="s">
        <v>1683</v>
      </c>
      <c r="J792" t="s">
        <v>197</v>
      </c>
      <c r="M792" t="s">
        <v>85</v>
      </c>
      <c r="O792" t="s">
        <v>14</v>
      </c>
      <c r="P792" t="s">
        <v>1708</v>
      </c>
      <c r="Q792" t="s">
        <v>1709</v>
      </c>
      <c r="R792">
        <v>1999</v>
      </c>
      <c r="S792" t="s">
        <v>505</v>
      </c>
      <c r="V792" t="s">
        <v>1710</v>
      </c>
      <c r="W792" t="s">
        <v>1380</v>
      </c>
      <c r="X792" t="s">
        <v>1711</v>
      </c>
      <c r="Y792" t="s">
        <v>1712</v>
      </c>
      <c r="Z792" t="s">
        <v>1713</v>
      </c>
      <c r="AA792" t="s">
        <v>1714</v>
      </c>
      <c r="AB792" t="s">
        <v>1715</v>
      </c>
      <c r="AC792" t="s">
        <v>1716</v>
      </c>
      <c r="AD792" t="s">
        <v>132</v>
      </c>
      <c r="AE792" t="s">
        <v>316</v>
      </c>
      <c r="AF792" t="s">
        <v>100</v>
      </c>
      <c r="AG792" t="s">
        <v>102</v>
      </c>
      <c r="AH792" t="s">
        <v>102</v>
      </c>
      <c r="AI792" t="s">
        <v>134</v>
      </c>
      <c r="AJ792" t="s">
        <v>104</v>
      </c>
      <c r="AM792" t="s">
        <v>136</v>
      </c>
      <c r="AN792" t="s">
        <v>700</v>
      </c>
      <c r="AT792">
        <v>12.68</v>
      </c>
      <c r="AU792">
        <v>0.216</v>
      </c>
      <c r="AW792" t="s">
        <v>108</v>
      </c>
      <c r="AX792">
        <v>25</v>
      </c>
      <c r="AY792" t="s">
        <v>134</v>
      </c>
      <c r="AZ792" t="s">
        <v>109</v>
      </c>
      <c r="BA792" t="s">
        <v>180</v>
      </c>
      <c r="BB792">
        <v>25</v>
      </c>
      <c r="BC792">
        <v>30</v>
      </c>
      <c r="BE792" t="s">
        <v>139</v>
      </c>
      <c r="BF792">
        <v>7</v>
      </c>
      <c r="BG792">
        <f t="shared" si="38"/>
        <v>1.6666666666666666E-2</v>
      </c>
      <c r="BN792">
        <v>35</v>
      </c>
      <c r="BR792" t="s">
        <v>69</v>
      </c>
      <c r="BS792" t="s">
        <v>265</v>
      </c>
      <c r="BT792" t="s">
        <v>452</v>
      </c>
      <c r="BU792" t="s">
        <v>1717</v>
      </c>
      <c r="BV792">
        <v>36.200000000000003</v>
      </c>
      <c r="BW792" t="s">
        <v>454</v>
      </c>
      <c r="BX792">
        <v>20</v>
      </c>
      <c r="BY792">
        <v>38.4</v>
      </c>
      <c r="BZ792" t="s">
        <v>454</v>
      </c>
      <c r="CA792">
        <v>20</v>
      </c>
      <c r="CB792" t="s">
        <v>113</v>
      </c>
      <c r="CC792" t="s">
        <v>1718</v>
      </c>
    </row>
    <row r="793" spans="1:81" x14ac:dyDescent="0.25">
      <c r="A793" t="s">
        <v>81</v>
      </c>
      <c r="B793">
        <v>792</v>
      </c>
      <c r="C793">
        <v>144</v>
      </c>
      <c r="D793">
        <v>133</v>
      </c>
      <c r="E793">
        <v>175</v>
      </c>
      <c r="F793">
        <v>186</v>
      </c>
      <c r="G793">
        <v>466</v>
      </c>
      <c r="H793">
        <v>682</v>
      </c>
      <c r="I793" t="s">
        <v>1683</v>
      </c>
      <c r="J793" t="s">
        <v>197</v>
      </c>
      <c r="M793" t="s">
        <v>85</v>
      </c>
      <c r="O793" t="s">
        <v>14</v>
      </c>
      <c r="P793" t="s">
        <v>1708</v>
      </c>
      <c r="Q793" t="s">
        <v>1709</v>
      </c>
      <c r="R793">
        <v>1999</v>
      </c>
      <c r="S793" t="s">
        <v>505</v>
      </c>
      <c r="V793" t="s">
        <v>1710</v>
      </c>
      <c r="W793" t="s">
        <v>1380</v>
      </c>
      <c r="X793" t="s">
        <v>1711</v>
      </c>
      <c r="Y793" t="s">
        <v>1712</v>
      </c>
      <c r="Z793" t="s">
        <v>1713</v>
      </c>
      <c r="AA793" t="s">
        <v>1714</v>
      </c>
      <c r="AB793" t="s">
        <v>1715</v>
      </c>
      <c r="AC793" t="s">
        <v>1716</v>
      </c>
      <c r="AD793" t="s">
        <v>132</v>
      </c>
      <c r="AE793" t="s">
        <v>316</v>
      </c>
      <c r="AF793" t="s">
        <v>100</v>
      </c>
      <c r="AG793" t="s">
        <v>102</v>
      </c>
      <c r="AH793" t="s">
        <v>102</v>
      </c>
      <c r="AI793" t="s">
        <v>134</v>
      </c>
      <c r="AJ793" t="s">
        <v>104</v>
      </c>
      <c r="AM793" t="s">
        <v>136</v>
      </c>
      <c r="AN793" t="s">
        <v>700</v>
      </c>
      <c r="AT793">
        <v>12.68</v>
      </c>
      <c r="AU793">
        <v>0.216</v>
      </c>
      <c r="AW793" t="s">
        <v>108</v>
      </c>
      <c r="AX793">
        <v>25</v>
      </c>
      <c r="AY793" t="s">
        <v>134</v>
      </c>
      <c r="AZ793" t="s">
        <v>212</v>
      </c>
      <c r="BA793" t="s">
        <v>142</v>
      </c>
      <c r="BB793">
        <v>20</v>
      </c>
      <c r="BC793">
        <v>25</v>
      </c>
      <c r="BE793" t="s">
        <v>139</v>
      </c>
      <c r="BF793">
        <v>7</v>
      </c>
      <c r="BH793">
        <v>24</v>
      </c>
      <c r="BI793">
        <v>5</v>
      </c>
      <c r="BJ793">
        <v>1</v>
      </c>
      <c r="BK793">
        <v>20</v>
      </c>
      <c r="BN793">
        <v>25</v>
      </c>
      <c r="BR793" t="s">
        <v>69</v>
      </c>
      <c r="BS793" t="s">
        <v>515</v>
      </c>
      <c r="BU793" t="s">
        <v>1719</v>
      </c>
      <c r="BV793">
        <v>31.742180000000001</v>
      </c>
      <c r="BW793">
        <v>0.17781</v>
      </c>
      <c r="BX793">
        <v>5</v>
      </c>
      <c r="BY793">
        <v>32.139159999999997</v>
      </c>
      <c r="BZ793">
        <v>0.15336949999999999</v>
      </c>
      <c r="CA793">
        <v>5</v>
      </c>
      <c r="CB793" t="s">
        <v>215</v>
      </c>
      <c r="CC793" t="s">
        <v>1720</v>
      </c>
    </row>
    <row r="794" spans="1:81" x14ac:dyDescent="0.25">
      <c r="A794" t="s">
        <v>81</v>
      </c>
      <c r="B794">
        <v>793</v>
      </c>
      <c r="C794">
        <v>144</v>
      </c>
      <c r="D794">
        <v>133</v>
      </c>
      <c r="E794">
        <v>175</v>
      </c>
      <c r="F794">
        <v>186</v>
      </c>
      <c r="G794">
        <v>466</v>
      </c>
      <c r="H794">
        <v>683</v>
      </c>
      <c r="I794" t="s">
        <v>1683</v>
      </c>
      <c r="J794" t="s">
        <v>197</v>
      </c>
      <c r="M794" t="s">
        <v>85</v>
      </c>
      <c r="O794" t="s">
        <v>14</v>
      </c>
      <c r="P794" t="s">
        <v>1708</v>
      </c>
      <c r="Q794" t="s">
        <v>1709</v>
      </c>
      <c r="R794">
        <v>1999</v>
      </c>
      <c r="S794" t="s">
        <v>505</v>
      </c>
      <c r="V794" t="s">
        <v>1710</v>
      </c>
      <c r="W794" t="s">
        <v>1380</v>
      </c>
      <c r="X794" t="s">
        <v>1711</v>
      </c>
      <c r="Y794" t="s">
        <v>1712</v>
      </c>
      <c r="Z794" t="s">
        <v>1713</v>
      </c>
      <c r="AA794" t="s">
        <v>1714</v>
      </c>
      <c r="AB794" t="s">
        <v>1715</v>
      </c>
      <c r="AC794" t="s">
        <v>1716</v>
      </c>
      <c r="AD794" t="s">
        <v>132</v>
      </c>
      <c r="AE794" t="s">
        <v>316</v>
      </c>
      <c r="AF794" t="s">
        <v>100</v>
      </c>
      <c r="AG794" t="s">
        <v>102</v>
      </c>
      <c r="AH794" t="s">
        <v>102</v>
      </c>
      <c r="AI794" t="s">
        <v>134</v>
      </c>
      <c r="AJ794" t="s">
        <v>104</v>
      </c>
      <c r="AM794" t="s">
        <v>136</v>
      </c>
      <c r="AN794" t="s">
        <v>700</v>
      </c>
      <c r="AT794">
        <v>12.68</v>
      </c>
      <c r="AU794">
        <v>0.216</v>
      </c>
      <c r="AW794" t="s">
        <v>108</v>
      </c>
      <c r="AX794">
        <v>25</v>
      </c>
      <c r="AY794" t="s">
        <v>134</v>
      </c>
      <c r="AZ794" t="s">
        <v>212</v>
      </c>
      <c r="BA794" t="s">
        <v>142</v>
      </c>
      <c r="BB794">
        <v>25</v>
      </c>
      <c r="BC794">
        <v>30</v>
      </c>
      <c r="BE794" t="s">
        <v>139</v>
      </c>
      <c r="BF794">
        <v>7</v>
      </c>
      <c r="BH794">
        <v>24</v>
      </c>
      <c r="BI794">
        <v>5</v>
      </c>
      <c r="BJ794">
        <v>1</v>
      </c>
      <c r="BK794">
        <v>20</v>
      </c>
      <c r="BN794">
        <v>25</v>
      </c>
      <c r="BR794" t="s">
        <v>69</v>
      </c>
      <c r="BS794" t="s">
        <v>515</v>
      </c>
      <c r="BU794" t="s">
        <v>1719</v>
      </c>
      <c r="BV794">
        <v>32.139159999999997</v>
      </c>
      <c r="BW794">
        <v>0.15336949999999999</v>
      </c>
      <c r="BX794">
        <v>5</v>
      </c>
      <c r="BY794">
        <v>32.487409999999997</v>
      </c>
      <c r="BZ794">
        <v>0.1783488</v>
      </c>
      <c r="CA794">
        <v>5</v>
      </c>
      <c r="CB794" t="s">
        <v>215</v>
      </c>
      <c r="CC794" t="s">
        <v>1720</v>
      </c>
    </row>
    <row r="795" spans="1:81" x14ac:dyDescent="0.25">
      <c r="A795" t="s">
        <v>81</v>
      </c>
      <c r="B795">
        <v>794</v>
      </c>
      <c r="C795">
        <v>144</v>
      </c>
      <c r="D795">
        <v>133</v>
      </c>
      <c r="E795">
        <v>175</v>
      </c>
      <c r="F795">
        <v>186</v>
      </c>
      <c r="G795">
        <v>467</v>
      </c>
      <c r="H795">
        <v>684</v>
      </c>
      <c r="I795" t="s">
        <v>1683</v>
      </c>
      <c r="J795" t="s">
        <v>197</v>
      </c>
      <c r="M795" t="s">
        <v>85</v>
      </c>
      <c r="O795" t="s">
        <v>14</v>
      </c>
      <c r="P795" t="s">
        <v>1708</v>
      </c>
      <c r="Q795" t="s">
        <v>1709</v>
      </c>
      <c r="R795">
        <v>1999</v>
      </c>
      <c r="S795" t="s">
        <v>505</v>
      </c>
      <c r="V795" t="s">
        <v>1710</v>
      </c>
      <c r="W795" t="s">
        <v>1380</v>
      </c>
      <c r="X795" t="s">
        <v>1711</v>
      </c>
      <c r="Y795" t="s">
        <v>1712</v>
      </c>
      <c r="Z795" t="s">
        <v>1713</v>
      </c>
      <c r="AA795" t="s">
        <v>1714</v>
      </c>
      <c r="AB795" t="s">
        <v>1715</v>
      </c>
      <c r="AC795" t="s">
        <v>1716</v>
      </c>
      <c r="AD795" t="s">
        <v>132</v>
      </c>
      <c r="AE795" t="s">
        <v>316</v>
      </c>
      <c r="AF795" t="s">
        <v>100</v>
      </c>
      <c r="AG795" t="s">
        <v>102</v>
      </c>
      <c r="AH795" t="s">
        <v>102</v>
      </c>
      <c r="AI795" t="s">
        <v>134</v>
      </c>
      <c r="AJ795" t="s">
        <v>104</v>
      </c>
      <c r="AM795" t="s">
        <v>136</v>
      </c>
      <c r="AN795" t="s">
        <v>700</v>
      </c>
      <c r="AT795">
        <v>12.68</v>
      </c>
      <c r="AU795">
        <v>0.216</v>
      </c>
      <c r="AW795" t="s">
        <v>108</v>
      </c>
      <c r="AX795">
        <v>25</v>
      </c>
      <c r="AY795" t="s">
        <v>134</v>
      </c>
      <c r="AZ795" t="s">
        <v>212</v>
      </c>
      <c r="BA795" t="s">
        <v>142</v>
      </c>
      <c r="BB795">
        <v>20</v>
      </c>
      <c r="BC795">
        <v>25</v>
      </c>
      <c r="BE795" t="s">
        <v>139</v>
      </c>
      <c r="BF795">
        <v>7</v>
      </c>
      <c r="BH795">
        <v>24</v>
      </c>
      <c r="BI795">
        <v>5</v>
      </c>
      <c r="BJ795">
        <v>1</v>
      </c>
      <c r="BK795">
        <v>20</v>
      </c>
      <c r="BN795">
        <v>30</v>
      </c>
      <c r="BR795" t="s">
        <v>69</v>
      </c>
      <c r="BS795" t="s">
        <v>515</v>
      </c>
      <c r="BU795" t="s">
        <v>1719</v>
      </c>
      <c r="BV795">
        <v>31.47692</v>
      </c>
      <c r="BW795">
        <v>0.1871003</v>
      </c>
      <c r="BX795">
        <v>5</v>
      </c>
      <c r="BY795">
        <v>31.989339999999999</v>
      </c>
      <c r="BZ795">
        <v>0.1485187</v>
      </c>
      <c r="CA795">
        <v>5</v>
      </c>
      <c r="CB795" t="s">
        <v>215</v>
      </c>
      <c r="CC795" t="s">
        <v>1720</v>
      </c>
    </row>
    <row r="796" spans="1:81" x14ac:dyDescent="0.25">
      <c r="A796" t="s">
        <v>81</v>
      </c>
      <c r="B796">
        <v>795</v>
      </c>
      <c r="C796">
        <v>144</v>
      </c>
      <c r="D796">
        <v>133</v>
      </c>
      <c r="E796">
        <v>175</v>
      </c>
      <c r="F796">
        <v>186</v>
      </c>
      <c r="G796">
        <v>467</v>
      </c>
      <c r="H796">
        <v>685</v>
      </c>
      <c r="I796" t="s">
        <v>1683</v>
      </c>
      <c r="J796" t="s">
        <v>197</v>
      </c>
      <c r="M796" t="s">
        <v>85</v>
      </c>
      <c r="O796" t="s">
        <v>14</v>
      </c>
      <c r="P796" t="s">
        <v>1708</v>
      </c>
      <c r="Q796" t="s">
        <v>1709</v>
      </c>
      <c r="R796">
        <v>1999</v>
      </c>
      <c r="S796" t="s">
        <v>505</v>
      </c>
      <c r="V796" t="s">
        <v>1710</v>
      </c>
      <c r="W796" t="s">
        <v>1380</v>
      </c>
      <c r="X796" t="s">
        <v>1711</v>
      </c>
      <c r="Y796" t="s">
        <v>1712</v>
      </c>
      <c r="Z796" t="s">
        <v>1713</v>
      </c>
      <c r="AA796" t="s">
        <v>1714</v>
      </c>
      <c r="AB796" t="s">
        <v>1715</v>
      </c>
      <c r="AC796" t="s">
        <v>1716</v>
      </c>
      <c r="AD796" t="s">
        <v>132</v>
      </c>
      <c r="AE796" t="s">
        <v>316</v>
      </c>
      <c r="AF796" t="s">
        <v>100</v>
      </c>
      <c r="AG796" t="s">
        <v>102</v>
      </c>
      <c r="AH796" t="s">
        <v>102</v>
      </c>
      <c r="AI796" t="s">
        <v>134</v>
      </c>
      <c r="AJ796" t="s">
        <v>104</v>
      </c>
      <c r="AM796" t="s">
        <v>136</v>
      </c>
      <c r="AN796" t="s">
        <v>700</v>
      </c>
      <c r="AT796">
        <v>12.68</v>
      </c>
      <c r="AU796">
        <v>0.216</v>
      </c>
      <c r="AW796" t="s">
        <v>108</v>
      </c>
      <c r="AX796">
        <v>25</v>
      </c>
      <c r="AY796" t="s">
        <v>134</v>
      </c>
      <c r="AZ796" t="s">
        <v>212</v>
      </c>
      <c r="BA796" t="s">
        <v>142</v>
      </c>
      <c r="BB796">
        <v>25</v>
      </c>
      <c r="BC796">
        <v>30</v>
      </c>
      <c r="BE796" t="s">
        <v>139</v>
      </c>
      <c r="BF796">
        <v>7</v>
      </c>
      <c r="BH796">
        <v>24</v>
      </c>
      <c r="BI796">
        <v>5</v>
      </c>
      <c r="BJ796">
        <v>1</v>
      </c>
      <c r="BK796">
        <v>20</v>
      </c>
      <c r="BN796">
        <v>30</v>
      </c>
      <c r="BR796" t="s">
        <v>69</v>
      </c>
      <c r="BS796" t="s">
        <v>515</v>
      </c>
      <c r="BU796" t="s">
        <v>1719</v>
      </c>
      <c r="BV796">
        <v>31.989339999999999</v>
      </c>
      <c r="BW796">
        <v>0.1485187</v>
      </c>
      <c r="BX796">
        <v>5</v>
      </c>
      <c r="BY796">
        <v>32.234059999999999</v>
      </c>
      <c r="BZ796">
        <v>0.20465340000000001</v>
      </c>
      <c r="CA796">
        <v>5</v>
      </c>
      <c r="CB796" t="s">
        <v>215</v>
      </c>
      <c r="CC796" t="s">
        <v>1720</v>
      </c>
    </row>
    <row r="797" spans="1:81" x14ac:dyDescent="0.25">
      <c r="A797" t="s">
        <v>81</v>
      </c>
      <c r="B797">
        <v>796</v>
      </c>
      <c r="C797">
        <v>144</v>
      </c>
      <c r="D797">
        <v>133</v>
      </c>
      <c r="E797">
        <v>175</v>
      </c>
      <c r="F797">
        <v>186</v>
      </c>
      <c r="G797">
        <v>468</v>
      </c>
      <c r="H797">
        <v>686</v>
      </c>
      <c r="I797" t="s">
        <v>1683</v>
      </c>
      <c r="J797" t="s">
        <v>197</v>
      </c>
      <c r="M797" t="s">
        <v>85</v>
      </c>
      <c r="O797" t="s">
        <v>14</v>
      </c>
      <c r="P797" t="s">
        <v>1708</v>
      </c>
      <c r="Q797" t="s">
        <v>1709</v>
      </c>
      <c r="R797">
        <v>1999</v>
      </c>
      <c r="S797" t="s">
        <v>505</v>
      </c>
      <c r="V797" t="s">
        <v>1710</v>
      </c>
      <c r="W797" t="s">
        <v>1380</v>
      </c>
      <c r="X797" t="s">
        <v>1711</v>
      </c>
      <c r="Y797" t="s">
        <v>1712</v>
      </c>
      <c r="Z797" t="s">
        <v>1713</v>
      </c>
      <c r="AA797" t="s">
        <v>1714</v>
      </c>
      <c r="AB797" t="s">
        <v>1715</v>
      </c>
      <c r="AC797" t="s">
        <v>1716</v>
      </c>
      <c r="AD797" t="s">
        <v>132</v>
      </c>
      <c r="AE797" t="s">
        <v>316</v>
      </c>
      <c r="AF797" t="s">
        <v>100</v>
      </c>
      <c r="AG797" t="s">
        <v>102</v>
      </c>
      <c r="AH797" t="s">
        <v>102</v>
      </c>
      <c r="AI797" t="s">
        <v>134</v>
      </c>
      <c r="AJ797" t="s">
        <v>104</v>
      </c>
      <c r="AM797" t="s">
        <v>136</v>
      </c>
      <c r="AN797" t="s">
        <v>700</v>
      </c>
      <c r="AT797">
        <v>12.68</v>
      </c>
      <c r="AU797">
        <v>0.216</v>
      </c>
      <c r="AW797" t="s">
        <v>108</v>
      </c>
      <c r="AX797">
        <v>25</v>
      </c>
      <c r="AY797" t="s">
        <v>134</v>
      </c>
      <c r="AZ797" t="s">
        <v>212</v>
      </c>
      <c r="BA797" t="s">
        <v>142</v>
      </c>
      <c r="BB797">
        <v>20</v>
      </c>
      <c r="BC797">
        <v>25</v>
      </c>
      <c r="BE797" t="s">
        <v>139</v>
      </c>
      <c r="BF797">
        <v>7</v>
      </c>
      <c r="BH797">
        <v>24</v>
      </c>
      <c r="BI797">
        <v>5</v>
      </c>
      <c r="BJ797">
        <v>1</v>
      </c>
      <c r="BK797">
        <v>20</v>
      </c>
      <c r="BN797">
        <v>35</v>
      </c>
      <c r="BR797" t="s">
        <v>69</v>
      </c>
      <c r="BS797" t="s">
        <v>515</v>
      </c>
      <c r="BU797" t="s">
        <v>1719</v>
      </c>
      <c r="BV797">
        <v>30.645959999999999</v>
      </c>
      <c r="BW797">
        <v>0.1341417</v>
      </c>
      <c r="BX797">
        <v>5</v>
      </c>
      <c r="BY797">
        <v>31.785419999999998</v>
      </c>
      <c r="BZ797">
        <v>0.14902760000000001</v>
      </c>
      <c r="CA797">
        <v>5</v>
      </c>
      <c r="CB797" t="s">
        <v>215</v>
      </c>
      <c r="CC797" t="s">
        <v>1720</v>
      </c>
    </row>
    <row r="798" spans="1:81" x14ac:dyDescent="0.25">
      <c r="A798" t="s">
        <v>81</v>
      </c>
      <c r="B798">
        <v>797</v>
      </c>
      <c r="C798">
        <v>144</v>
      </c>
      <c r="D798">
        <v>133</v>
      </c>
      <c r="E798">
        <v>175</v>
      </c>
      <c r="F798">
        <v>186</v>
      </c>
      <c r="G798">
        <v>468</v>
      </c>
      <c r="H798">
        <v>687</v>
      </c>
      <c r="I798" t="s">
        <v>1683</v>
      </c>
      <c r="J798" t="s">
        <v>197</v>
      </c>
      <c r="M798" t="s">
        <v>85</v>
      </c>
      <c r="O798" t="s">
        <v>14</v>
      </c>
      <c r="P798" t="s">
        <v>1708</v>
      </c>
      <c r="Q798" t="s">
        <v>1709</v>
      </c>
      <c r="R798">
        <v>1999</v>
      </c>
      <c r="S798" t="s">
        <v>505</v>
      </c>
      <c r="V798" t="s">
        <v>1710</v>
      </c>
      <c r="W798" t="s">
        <v>1380</v>
      </c>
      <c r="X798" t="s">
        <v>1711</v>
      </c>
      <c r="Y798" t="s">
        <v>1712</v>
      </c>
      <c r="Z798" t="s">
        <v>1713</v>
      </c>
      <c r="AA798" t="s">
        <v>1714</v>
      </c>
      <c r="AB798" t="s">
        <v>1715</v>
      </c>
      <c r="AC798" t="s">
        <v>1716</v>
      </c>
      <c r="AD798" t="s">
        <v>132</v>
      </c>
      <c r="AE798" t="s">
        <v>316</v>
      </c>
      <c r="AF798" t="s">
        <v>100</v>
      </c>
      <c r="AG798" t="s">
        <v>102</v>
      </c>
      <c r="AH798" t="s">
        <v>102</v>
      </c>
      <c r="AI798" t="s">
        <v>134</v>
      </c>
      <c r="AJ798" t="s">
        <v>104</v>
      </c>
      <c r="AM798" t="s">
        <v>136</v>
      </c>
      <c r="AN798" t="s">
        <v>700</v>
      </c>
      <c r="AT798">
        <v>12.68</v>
      </c>
      <c r="AU798">
        <v>0.216</v>
      </c>
      <c r="AW798" t="s">
        <v>108</v>
      </c>
      <c r="AX798">
        <v>25</v>
      </c>
      <c r="AY798" t="s">
        <v>134</v>
      </c>
      <c r="AZ798" t="s">
        <v>212</v>
      </c>
      <c r="BA798" t="s">
        <v>142</v>
      </c>
      <c r="BB798">
        <v>25</v>
      </c>
      <c r="BC798">
        <v>30</v>
      </c>
      <c r="BE798" t="s">
        <v>139</v>
      </c>
      <c r="BF798">
        <v>7</v>
      </c>
      <c r="BH798">
        <v>24</v>
      </c>
      <c r="BI798">
        <v>5</v>
      </c>
      <c r="BJ798">
        <v>1</v>
      </c>
      <c r="BK798">
        <v>20</v>
      </c>
      <c r="BN798">
        <v>35</v>
      </c>
      <c r="BR798" t="s">
        <v>69</v>
      </c>
      <c r="BS798" t="s">
        <v>515</v>
      </c>
      <c r="BU798" t="s">
        <v>1719</v>
      </c>
      <c r="BV798">
        <v>31.785419999999998</v>
      </c>
      <c r="BW798">
        <v>0.14902760000000001</v>
      </c>
      <c r="BX798">
        <v>5</v>
      </c>
      <c r="BY798">
        <v>32.101799999999997</v>
      </c>
      <c r="BZ798">
        <v>0.22224179999999999</v>
      </c>
      <c r="CA798">
        <v>5</v>
      </c>
      <c r="CB798" t="s">
        <v>215</v>
      </c>
      <c r="CC798" t="s">
        <v>1720</v>
      </c>
    </row>
    <row r="799" spans="1:81" x14ac:dyDescent="0.25">
      <c r="A799" t="s">
        <v>81</v>
      </c>
      <c r="B799">
        <v>798</v>
      </c>
      <c r="C799">
        <v>145</v>
      </c>
      <c r="D799">
        <v>134</v>
      </c>
      <c r="E799">
        <v>176</v>
      </c>
      <c r="F799">
        <v>187</v>
      </c>
      <c r="G799">
        <v>469</v>
      </c>
      <c r="H799">
        <v>688</v>
      </c>
      <c r="I799" t="s">
        <v>1683</v>
      </c>
      <c r="J799" t="s">
        <v>691</v>
      </c>
      <c r="M799" t="s">
        <v>85</v>
      </c>
      <c r="O799" t="s">
        <v>14</v>
      </c>
      <c r="P799" t="s">
        <v>1721</v>
      </c>
      <c r="Q799" t="s">
        <v>1722</v>
      </c>
      <c r="R799">
        <v>2006</v>
      </c>
      <c r="S799" t="s">
        <v>494</v>
      </c>
      <c r="U799" t="s">
        <v>1723</v>
      </c>
      <c r="V799" t="s">
        <v>1724</v>
      </c>
      <c r="W799" t="s">
        <v>91</v>
      </c>
      <c r="X799" t="s">
        <v>126</v>
      </c>
      <c r="Y799" t="s">
        <v>434</v>
      </c>
      <c r="Z799" t="s">
        <v>707</v>
      </c>
      <c r="AA799" t="s">
        <v>1725</v>
      </c>
      <c r="AB799" t="s">
        <v>1726</v>
      </c>
      <c r="AC799" t="s">
        <v>1727</v>
      </c>
      <c r="AD799" t="s">
        <v>132</v>
      </c>
      <c r="AE799" t="s">
        <v>133</v>
      </c>
      <c r="AF799" t="s">
        <v>100</v>
      </c>
      <c r="AG799" t="s">
        <v>102</v>
      </c>
      <c r="AH799" t="s">
        <v>102</v>
      </c>
      <c r="AI799" t="s">
        <v>134</v>
      </c>
      <c r="AJ799" t="s">
        <v>135</v>
      </c>
      <c r="AM799" t="s">
        <v>136</v>
      </c>
      <c r="AN799" t="s">
        <v>106</v>
      </c>
      <c r="AT799">
        <v>192</v>
      </c>
      <c r="AW799" t="s">
        <v>108</v>
      </c>
      <c r="AZ799" t="s">
        <v>212</v>
      </c>
      <c r="BA799" t="s">
        <v>142</v>
      </c>
      <c r="BB799">
        <v>5</v>
      </c>
      <c r="BC799">
        <v>10</v>
      </c>
      <c r="BE799" t="s">
        <v>139</v>
      </c>
      <c r="BF799">
        <v>14</v>
      </c>
      <c r="BH799">
        <v>72</v>
      </c>
      <c r="BR799" t="s">
        <v>69</v>
      </c>
      <c r="BS799" t="s">
        <v>844</v>
      </c>
      <c r="BT799" t="s">
        <v>1728</v>
      </c>
      <c r="BU799" t="s">
        <v>1729</v>
      </c>
      <c r="BV799">
        <v>24.4</v>
      </c>
      <c r="BW799">
        <v>2.3620523000000001E-2</v>
      </c>
      <c r="BX799" t="s">
        <v>454</v>
      </c>
      <c r="BY799">
        <v>27.2</v>
      </c>
      <c r="BZ799">
        <v>4.3381179999999998E-2</v>
      </c>
      <c r="CA799" t="s">
        <v>454</v>
      </c>
      <c r="CB799" t="s">
        <v>215</v>
      </c>
      <c r="CC799" t="s">
        <v>1730</v>
      </c>
    </row>
    <row r="800" spans="1:81" x14ac:dyDescent="0.25">
      <c r="A800" t="s">
        <v>81</v>
      </c>
      <c r="B800">
        <v>799</v>
      </c>
      <c r="C800">
        <v>145</v>
      </c>
      <c r="D800">
        <v>134</v>
      </c>
      <c r="E800">
        <v>176</v>
      </c>
      <c r="F800">
        <v>187</v>
      </c>
      <c r="G800">
        <v>469</v>
      </c>
      <c r="H800">
        <v>689</v>
      </c>
      <c r="I800" t="s">
        <v>1683</v>
      </c>
      <c r="J800" t="s">
        <v>691</v>
      </c>
      <c r="M800" t="s">
        <v>85</v>
      </c>
      <c r="O800" t="s">
        <v>14</v>
      </c>
      <c r="P800" t="s">
        <v>1721</v>
      </c>
      <c r="Q800" t="s">
        <v>1722</v>
      </c>
      <c r="R800">
        <v>2006</v>
      </c>
      <c r="S800" t="s">
        <v>494</v>
      </c>
      <c r="U800" t="s">
        <v>1723</v>
      </c>
      <c r="V800" t="s">
        <v>1724</v>
      </c>
      <c r="W800" t="s">
        <v>91</v>
      </c>
      <c r="X800" t="s">
        <v>126</v>
      </c>
      <c r="Y800" t="s">
        <v>434</v>
      </c>
      <c r="Z800" t="s">
        <v>707</v>
      </c>
      <c r="AA800" t="s">
        <v>1725</v>
      </c>
      <c r="AB800" t="s">
        <v>1726</v>
      </c>
      <c r="AC800" t="s">
        <v>1727</v>
      </c>
      <c r="AD800" t="s">
        <v>132</v>
      </c>
      <c r="AE800" t="s">
        <v>133</v>
      </c>
      <c r="AF800" t="s">
        <v>100</v>
      </c>
      <c r="AG800" t="s">
        <v>102</v>
      </c>
      <c r="AH800" t="s">
        <v>102</v>
      </c>
      <c r="AI800" t="s">
        <v>134</v>
      </c>
      <c r="AJ800" t="s">
        <v>135</v>
      </c>
      <c r="AM800" t="s">
        <v>136</v>
      </c>
      <c r="AN800" t="s">
        <v>106</v>
      </c>
      <c r="AT800">
        <v>192</v>
      </c>
      <c r="AW800" t="s">
        <v>108</v>
      </c>
      <c r="AZ800" t="s">
        <v>212</v>
      </c>
      <c r="BA800" t="s">
        <v>142</v>
      </c>
      <c r="BB800">
        <v>10</v>
      </c>
      <c r="BC800">
        <v>15</v>
      </c>
      <c r="BE800" t="s">
        <v>139</v>
      </c>
      <c r="BF800">
        <v>14</v>
      </c>
      <c r="BH800">
        <v>72</v>
      </c>
      <c r="BR800" t="s">
        <v>69</v>
      </c>
      <c r="BS800" t="s">
        <v>844</v>
      </c>
      <c r="BT800" t="s">
        <v>1728</v>
      </c>
      <c r="BU800" t="s">
        <v>1729</v>
      </c>
      <c r="BV800">
        <v>27.2</v>
      </c>
      <c r="BW800">
        <v>4.3381179999999998E-2</v>
      </c>
      <c r="BX800" t="s">
        <v>454</v>
      </c>
      <c r="BY800">
        <v>29.7</v>
      </c>
      <c r="BZ800">
        <v>0.109191176</v>
      </c>
      <c r="CA800" t="s">
        <v>454</v>
      </c>
      <c r="CB800" t="s">
        <v>215</v>
      </c>
      <c r="CC800" t="s">
        <v>1730</v>
      </c>
    </row>
    <row r="801" spans="1:81" x14ac:dyDescent="0.25">
      <c r="A801" t="s">
        <v>81</v>
      </c>
      <c r="B801">
        <v>800</v>
      </c>
      <c r="C801">
        <v>145</v>
      </c>
      <c r="D801">
        <v>134</v>
      </c>
      <c r="E801">
        <v>176</v>
      </c>
      <c r="F801">
        <v>187</v>
      </c>
      <c r="G801">
        <v>469</v>
      </c>
      <c r="H801">
        <v>690</v>
      </c>
      <c r="I801" t="s">
        <v>1683</v>
      </c>
      <c r="J801" t="s">
        <v>691</v>
      </c>
      <c r="M801" t="s">
        <v>85</v>
      </c>
      <c r="O801" t="s">
        <v>14</v>
      </c>
      <c r="P801" t="s">
        <v>1721</v>
      </c>
      <c r="Q801" t="s">
        <v>1722</v>
      </c>
      <c r="R801">
        <v>2006</v>
      </c>
      <c r="S801" t="s">
        <v>494</v>
      </c>
      <c r="U801" t="s">
        <v>1723</v>
      </c>
      <c r="V801" t="s">
        <v>1724</v>
      </c>
      <c r="W801" t="s">
        <v>91</v>
      </c>
      <c r="X801" t="s">
        <v>126</v>
      </c>
      <c r="Y801" t="s">
        <v>434</v>
      </c>
      <c r="Z801" t="s">
        <v>707</v>
      </c>
      <c r="AA801" t="s">
        <v>1725</v>
      </c>
      <c r="AB801" t="s">
        <v>1726</v>
      </c>
      <c r="AC801" t="s">
        <v>1727</v>
      </c>
      <c r="AD801" t="s">
        <v>132</v>
      </c>
      <c r="AE801" t="s">
        <v>133</v>
      </c>
      <c r="AF801" t="s">
        <v>100</v>
      </c>
      <c r="AG801" t="s">
        <v>102</v>
      </c>
      <c r="AH801" t="s">
        <v>102</v>
      </c>
      <c r="AI801" t="s">
        <v>134</v>
      </c>
      <c r="AJ801" t="s">
        <v>135</v>
      </c>
      <c r="AM801" t="s">
        <v>136</v>
      </c>
      <c r="AN801" t="s">
        <v>106</v>
      </c>
      <c r="AT801">
        <v>192</v>
      </c>
      <c r="AW801" t="s">
        <v>108</v>
      </c>
      <c r="AZ801" t="s">
        <v>212</v>
      </c>
      <c r="BA801" t="s">
        <v>142</v>
      </c>
      <c r="BB801">
        <v>15</v>
      </c>
      <c r="BC801">
        <v>20</v>
      </c>
      <c r="BE801" t="s">
        <v>139</v>
      </c>
      <c r="BF801">
        <v>14</v>
      </c>
      <c r="BH801">
        <v>72</v>
      </c>
      <c r="BR801" t="s">
        <v>69</v>
      </c>
      <c r="BS801" t="s">
        <v>844</v>
      </c>
      <c r="BT801" t="s">
        <v>1728</v>
      </c>
      <c r="BU801" t="s">
        <v>1729</v>
      </c>
      <c r="BV801">
        <v>29.7</v>
      </c>
      <c r="BW801">
        <v>0.109191176</v>
      </c>
      <c r="BX801" t="s">
        <v>454</v>
      </c>
      <c r="BY801">
        <v>31.1</v>
      </c>
      <c r="BZ801">
        <v>4.3802817000000001E-2</v>
      </c>
      <c r="CA801" t="s">
        <v>454</v>
      </c>
      <c r="CB801" t="s">
        <v>215</v>
      </c>
      <c r="CC801" t="s">
        <v>1730</v>
      </c>
    </row>
    <row r="802" spans="1:81" x14ac:dyDescent="0.25">
      <c r="A802" t="s">
        <v>81</v>
      </c>
      <c r="B802">
        <v>801</v>
      </c>
      <c r="C802">
        <v>145</v>
      </c>
      <c r="D802">
        <v>134</v>
      </c>
      <c r="E802">
        <v>176</v>
      </c>
      <c r="F802">
        <v>187</v>
      </c>
      <c r="G802">
        <v>469</v>
      </c>
      <c r="H802">
        <v>691</v>
      </c>
      <c r="I802" t="s">
        <v>1683</v>
      </c>
      <c r="J802" t="s">
        <v>691</v>
      </c>
      <c r="M802" t="s">
        <v>85</v>
      </c>
      <c r="O802" t="s">
        <v>14</v>
      </c>
      <c r="P802" t="s">
        <v>1721</v>
      </c>
      <c r="Q802" t="s">
        <v>1722</v>
      </c>
      <c r="R802">
        <v>2006</v>
      </c>
      <c r="S802" t="s">
        <v>494</v>
      </c>
      <c r="U802" t="s">
        <v>1723</v>
      </c>
      <c r="V802" t="s">
        <v>1724</v>
      </c>
      <c r="W802" t="s">
        <v>91</v>
      </c>
      <c r="X802" t="s">
        <v>126</v>
      </c>
      <c r="Y802" t="s">
        <v>434</v>
      </c>
      <c r="Z802" t="s">
        <v>707</v>
      </c>
      <c r="AA802" t="s">
        <v>1725</v>
      </c>
      <c r="AB802" t="s">
        <v>1726</v>
      </c>
      <c r="AC802" t="s">
        <v>1727</v>
      </c>
      <c r="AD802" t="s">
        <v>132</v>
      </c>
      <c r="AE802" t="s">
        <v>133</v>
      </c>
      <c r="AF802" t="s">
        <v>100</v>
      </c>
      <c r="AG802" t="s">
        <v>102</v>
      </c>
      <c r="AH802" t="s">
        <v>102</v>
      </c>
      <c r="AI802" t="s">
        <v>134</v>
      </c>
      <c r="AJ802" t="s">
        <v>135</v>
      </c>
      <c r="AM802" t="s">
        <v>136</v>
      </c>
      <c r="AN802" t="s">
        <v>106</v>
      </c>
      <c r="AT802">
        <v>192</v>
      </c>
      <c r="AW802" t="s">
        <v>108</v>
      </c>
      <c r="AZ802" t="s">
        <v>212</v>
      </c>
      <c r="BA802" t="s">
        <v>142</v>
      </c>
      <c r="BB802">
        <v>20</v>
      </c>
      <c r="BC802">
        <v>26</v>
      </c>
      <c r="BE802" t="s">
        <v>139</v>
      </c>
      <c r="BF802">
        <v>14</v>
      </c>
      <c r="BH802">
        <v>72</v>
      </c>
      <c r="BR802" t="s">
        <v>69</v>
      </c>
      <c r="BS802" t="s">
        <v>844</v>
      </c>
      <c r="BT802" t="s">
        <v>1728</v>
      </c>
      <c r="BU802" t="s">
        <v>1729</v>
      </c>
      <c r="BV802">
        <v>31.1</v>
      </c>
      <c r="BW802">
        <v>4.3802817000000001E-2</v>
      </c>
      <c r="BX802" t="s">
        <v>454</v>
      </c>
      <c r="BY802">
        <v>31.8</v>
      </c>
      <c r="BZ802">
        <v>5.1791531000000002E-2</v>
      </c>
      <c r="CA802" t="s">
        <v>454</v>
      </c>
      <c r="CB802" t="s">
        <v>215</v>
      </c>
      <c r="CC802" t="s">
        <v>1730</v>
      </c>
    </row>
    <row r="803" spans="1:81" x14ac:dyDescent="0.25">
      <c r="A803" t="s">
        <v>81</v>
      </c>
      <c r="B803">
        <v>802</v>
      </c>
      <c r="C803">
        <v>145</v>
      </c>
      <c r="D803">
        <v>134</v>
      </c>
      <c r="E803">
        <v>176</v>
      </c>
      <c r="F803">
        <v>187</v>
      </c>
      <c r="G803">
        <v>469</v>
      </c>
      <c r="H803">
        <v>692</v>
      </c>
      <c r="I803" t="s">
        <v>1683</v>
      </c>
      <c r="J803" t="s">
        <v>691</v>
      </c>
      <c r="M803" t="s">
        <v>85</v>
      </c>
      <c r="O803" t="s">
        <v>14</v>
      </c>
      <c r="P803" t="s">
        <v>1721</v>
      </c>
      <c r="Q803" t="s">
        <v>1722</v>
      </c>
      <c r="R803">
        <v>2006</v>
      </c>
      <c r="S803" t="s">
        <v>494</v>
      </c>
      <c r="U803" t="s">
        <v>1723</v>
      </c>
      <c r="V803" t="s">
        <v>1724</v>
      </c>
      <c r="W803" t="s">
        <v>91</v>
      </c>
      <c r="X803" t="s">
        <v>126</v>
      </c>
      <c r="Y803" t="s">
        <v>434</v>
      </c>
      <c r="Z803" t="s">
        <v>707</v>
      </c>
      <c r="AA803" t="s">
        <v>1725</v>
      </c>
      <c r="AB803" t="s">
        <v>1726</v>
      </c>
      <c r="AC803" t="s">
        <v>1727</v>
      </c>
      <c r="AD803" t="s">
        <v>132</v>
      </c>
      <c r="AE803" t="s">
        <v>133</v>
      </c>
      <c r="AF803" t="s">
        <v>100</v>
      </c>
      <c r="AG803" t="s">
        <v>102</v>
      </c>
      <c r="AH803" t="s">
        <v>102</v>
      </c>
      <c r="AI803" t="s">
        <v>134</v>
      </c>
      <c r="AJ803" t="s">
        <v>135</v>
      </c>
      <c r="AM803" t="s">
        <v>136</v>
      </c>
      <c r="AN803" t="s">
        <v>106</v>
      </c>
      <c r="AT803">
        <v>192</v>
      </c>
      <c r="AW803" t="s">
        <v>108</v>
      </c>
      <c r="AZ803" t="s">
        <v>212</v>
      </c>
      <c r="BA803" t="s">
        <v>142</v>
      </c>
      <c r="BB803">
        <v>26</v>
      </c>
      <c r="BC803">
        <v>30</v>
      </c>
      <c r="BE803" t="s">
        <v>139</v>
      </c>
      <c r="BF803">
        <v>14</v>
      </c>
      <c r="BH803">
        <v>72</v>
      </c>
      <c r="BR803" t="s">
        <v>69</v>
      </c>
      <c r="BS803" t="s">
        <v>844</v>
      </c>
      <c r="BT803" t="s">
        <v>1728</v>
      </c>
      <c r="BU803" t="s">
        <v>1729</v>
      </c>
      <c r="BV803">
        <v>31.8</v>
      </c>
      <c r="BW803">
        <v>5.1791531000000002E-2</v>
      </c>
      <c r="BX803" t="s">
        <v>454</v>
      </c>
      <c r="BY803">
        <v>33.9</v>
      </c>
      <c r="BZ803">
        <v>1.269853E-3</v>
      </c>
      <c r="CA803" t="s">
        <v>454</v>
      </c>
      <c r="CB803" t="s">
        <v>215</v>
      </c>
      <c r="CC803" t="s">
        <v>1730</v>
      </c>
    </row>
    <row r="804" spans="1:81" x14ac:dyDescent="0.25">
      <c r="A804" t="s">
        <v>81</v>
      </c>
      <c r="B804">
        <v>803</v>
      </c>
      <c r="C804">
        <v>145</v>
      </c>
      <c r="D804">
        <v>134</v>
      </c>
      <c r="E804">
        <v>176</v>
      </c>
      <c r="F804">
        <v>187</v>
      </c>
      <c r="G804">
        <v>470</v>
      </c>
      <c r="H804">
        <v>693</v>
      </c>
      <c r="J804" t="s">
        <v>211</v>
      </c>
      <c r="M804" t="s">
        <v>85</v>
      </c>
      <c r="O804" t="s">
        <v>14</v>
      </c>
      <c r="P804" t="s">
        <v>1721</v>
      </c>
      <c r="Q804" t="s">
        <v>1722</v>
      </c>
      <c r="R804">
        <v>2006</v>
      </c>
      <c r="S804" t="s">
        <v>494</v>
      </c>
      <c r="U804" t="s">
        <v>1723</v>
      </c>
      <c r="V804" t="s">
        <v>1724</v>
      </c>
      <c r="W804" t="s">
        <v>91</v>
      </c>
      <c r="X804" t="s">
        <v>126</v>
      </c>
      <c r="Y804" t="s">
        <v>434</v>
      </c>
      <c r="Z804" t="s">
        <v>707</v>
      </c>
      <c r="AA804" t="s">
        <v>1725</v>
      </c>
      <c r="AB804" t="s">
        <v>1726</v>
      </c>
      <c r="AC804" t="s">
        <v>1727</v>
      </c>
      <c r="AD804" t="s">
        <v>132</v>
      </c>
      <c r="AE804" t="s">
        <v>133</v>
      </c>
      <c r="AF804" t="s">
        <v>100</v>
      </c>
      <c r="AG804" t="s">
        <v>102</v>
      </c>
      <c r="AH804" t="s">
        <v>102</v>
      </c>
      <c r="AI804" t="s">
        <v>134</v>
      </c>
      <c r="AJ804" t="s">
        <v>135</v>
      </c>
      <c r="AM804" t="s">
        <v>136</v>
      </c>
      <c r="AN804" t="s">
        <v>106</v>
      </c>
      <c r="AT804">
        <v>218</v>
      </c>
      <c r="AW804" t="s">
        <v>108</v>
      </c>
      <c r="AZ804" t="s">
        <v>212</v>
      </c>
      <c r="BA804" t="s">
        <v>142</v>
      </c>
      <c r="BB804">
        <v>16</v>
      </c>
      <c r="BC804">
        <v>23</v>
      </c>
      <c r="BE804" t="s">
        <v>139</v>
      </c>
      <c r="BF804">
        <v>14</v>
      </c>
      <c r="BH804">
        <v>72</v>
      </c>
      <c r="BR804" t="s">
        <v>69</v>
      </c>
      <c r="BS804" t="s">
        <v>844</v>
      </c>
      <c r="BT804" t="s">
        <v>1728</v>
      </c>
      <c r="BU804" t="s">
        <v>1729</v>
      </c>
      <c r="BV804">
        <v>29.7</v>
      </c>
      <c r="BW804">
        <v>6.9555035000000001E-2</v>
      </c>
      <c r="BX804" t="s">
        <v>454</v>
      </c>
      <c r="BY804">
        <v>31.2</v>
      </c>
      <c r="BZ804">
        <v>3.4023991000000003E-2</v>
      </c>
      <c r="CA804" t="s">
        <v>454</v>
      </c>
      <c r="CB804" t="s">
        <v>215</v>
      </c>
      <c r="CC804" t="s">
        <v>1730</v>
      </c>
    </row>
    <row r="805" spans="1:81" x14ac:dyDescent="0.25">
      <c r="A805" t="s">
        <v>81</v>
      </c>
      <c r="B805">
        <v>804</v>
      </c>
      <c r="C805">
        <v>145</v>
      </c>
      <c r="D805">
        <v>134</v>
      </c>
      <c r="E805">
        <v>176</v>
      </c>
      <c r="F805">
        <v>187</v>
      </c>
      <c r="G805">
        <v>471</v>
      </c>
      <c r="H805">
        <v>694</v>
      </c>
      <c r="J805" t="s">
        <v>211</v>
      </c>
      <c r="M805" t="s">
        <v>85</v>
      </c>
      <c r="O805" t="s">
        <v>14</v>
      </c>
      <c r="P805" t="s">
        <v>1721</v>
      </c>
      <c r="Q805" t="s">
        <v>1722</v>
      </c>
      <c r="R805">
        <v>2006</v>
      </c>
      <c r="S805" t="s">
        <v>494</v>
      </c>
      <c r="U805" t="s">
        <v>1723</v>
      </c>
      <c r="V805" t="s">
        <v>1724</v>
      </c>
      <c r="W805" t="s">
        <v>91</v>
      </c>
      <c r="X805" t="s">
        <v>126</v>
      </c>
      <c r="Y805" t="s">
        <v>434</v>
      </c>
      <c r="Z805" t="s">
        <v>707</v>
      </c>
      <c r="AA805" t="s">
        <v>1725</v>
      </c>
      <c r="AB805" t="s">
        <v>1726</v>
      </c>
      <c r="AC805" t="s">
        <v>1727</v>
      </c>
      <c r="AD805" t="s">
        <v>132</v>
      </c>
      <c r="AE805" t="s">
        <v>133</v>
      </c>
      <c r="AF805" t="s">
        <v>100</v>
      </c>
      <c r="AG805" t="s">
        <v>102</v>
      </c>
      <c r="AH805" t="s">
        <v>102</v>
      </c>
      <c r="AI805" t="s">
        <v>134</v>
      </c>
      <c r="AJ805" t="s">
        <v>135</v>
      </c>
      <c r="AM805" t="s">
        <v>136</v>
      </c>
      <c r="AN805" t="s">
        <v>106</v>
      </c>
      <c r="AT805">
        <v>344</v>
      </c>
      <c r="AW805" t="s">
        <v>108</v>
      </c>
      <c r="AZ805" t="s">
        <v>212</v>
      </c>
      <c r="BA805" t="s">
        <v>142</v>
      </c>
      <c r="BB805">
        <v>16</v>
      </c>
      <c r="BC805">
        <v>23</v>
      </c>
      <c r="BE805" t="s">
        <v>139</v>
      </c>
      <c r="BF805">
        <v>14</v>
      </c>
      <c r="BH805">
        <v>72</v>
      </c>
      <c r="BR805" t="s">
        <v>69</v>
      </c>
      <c r="BS805" t="s">
        <v>844</v>
      </c>
      <c r="BT805" t="s">
        <v>1728</v>
      </c>
      <c r="BU805" t="s">
        <v>1729</v>
      </c>
      <c r="BV805">
        <v>28.5</v>
      </c>
      <c r="BW805">
        <v>8.6890244000000005E-2</v>
      </c>
      <c r="BX805" t="s">
        <v>454</v>
      </c>
      <c r="BY805">
        <v>30.6</v>
      </c>
      <c r="BZ805">
        <v>0.15376884399999999</v>
      </c>
      <c r="CA805" t="s">
        <v>454</v>
      </c>
      <c r="CB805" t="s">
        <v>215</v>
      </c>
      <c r="CC805" t="s">
        <v>1730</v>
      </c>
    </row>
    <row r="806" spans="1:81" x14ac:dyDescent="0.25">
      <c r="A806" t="s">
        <v>81</v>
      </c>
      <c r="B806">
        <v>805</v>
      </c>
      <c r="C806">
        <v>146</v>
      </c>
      <c r="D806">
        <v>44</v>
      </c>
      <c r="E806">
        <v>46</v>
      </c>
      <c r="F806">
        <v>188</v>
      </c>
      <c r="G806">
        <v>472</v>
      </c>
      <c r="H806">
        <v>695</v>
      </c>
      <c r="I806" t="s">
        <v>1731</v>
      </c>
      <c r="J806" t="s">
        <v>1732</v>
      </c>
      <c r="L806" t="s">
        <v>1733</v>
      </c>
      <c r="M806" t="s">
        <v>85</v>
      </c>
      <c r="O806" t="s">
        <v>14</v>
      </c>
      <c r="P806" t="s">
        <v>1734</v>
      </c>
      <c r="Q806" t="s">
        <v>1735</v>
      </c>
      <c r="R806">
        <v>2013</v>
      </c>
      <c r="S806" t="s">
        <v>1736</v>
      </c>
      <c r="U806" t="s">
        <v>1737</v>
      </c>
      <c r="V806" t="s">
        <v>1738</v>
      </c>
      <c r="W806" t="s">
        <v>91</v>
      </c>
      <c r="X806" t="s">
        <v>126</v>
      </c>
      <c r="Y806" t="s">
        <v>190</v>
      </c>
      <c r="Z806" t="s">
        <v>191</v>
      </c>
      <c r="AA806" t="s">
        <v>496</v>
      </c>
      <c r="AB806" t="s">
        <v>660</v>
      </c>
      <c r="AC806" t="s">
        <v>661</v>
      </c>
      <c r="AD806" t="s">
        <v>132</v>
      </c>
      <c r="AE806" t="s">
        <v>133</v>
      </c>
      <c r="AF806" t="s">
        <v>100</v>
      </c>
      <c r="AG806" t="s">
        <v>102</v>
      </c>
      <c r="AH806" t="s">
        <v>102</v>
      </c>
      <c r="AI806" t="s">
        <v>134</v>
      </c>
      <c r="AJ806" t="s">
        <v>135</v>
      </c>
      <c r="AM806" t="s">
        <v>136</v>
      </c>
      <c r="AN806" t="s">
        <v>106</v>
      </c>
      <c r="AO806">
        <v>45.464166666700002</v>
      </c>
      <c r="AP806">
        <v>-78.501944444399996</v>
      </c>
      <c r="AQ806">
        <v>434</v>
      </c>
      <c r="AR806" t="s">
        <v>179</v>
      </c>
      <c r="AS806">
        <v>2004</v>
      </c>
      <c r="AW806" t="s">
        <v>108</v>
      </c>
      <c r="AX806">
        <v>8.5</v>
      </c>
      <c r="AY806" t="s">
        <v>103</v>
      </c>
      <c r="AZ806" t="s">
        <v>109</v>
      </c>
      <c r="BA806" t="s">
        <v>138</v>
      </c>
      <c r="BB806">
        <v>6</v>
      </c>
      <c r="BC806">
        <v>11</v>
      </c>
      <c r="BD806">
        <v>1</v>
      </c>
      <c r="BE806" t="s">
        <v>111</v>
      </c>
      <c r="BG806">
        <f>1/7</f>
        <v>0.14285714285714285</v>
      </c>
      <c r="BR806" t="s">
        <v>69</v>
      </c>
      <c r="BU806" t="s">
        <v>1739</v>
      </c>
      <c r="BV806">
        <v>25.299669999999999</v>
      </c>
      <c r="BW806">
        <v>0.49978340599999999</v>
      </c>
      <c r="BX806">
        <v>45</v>
      </c>
      <c r="BY806">
        <v>26.6904</v>
      </c>
      <c r="BZ806">
        <v>0.61084638499999999</v>
      </c>
      <c r="CA806">
        <v>45</v>
      </c>
      <c r="CB806" t="s">
        <v>113</v>
      </c>
      <c r="CC806" t="s">
        <v>319</v>
      </c>
    </row>
    <row r="807" spans="1:81" x14ac:dyDescent="0.25">
      <c r="A807" t="s">
        <v>81</v>
      </c>
      <c r="B807">
        <v>806</v>
      </c>
      <c r="C807">
        <v>146</v>
      </c>
      <c r="D807">
        <v>44</v>
      </c>
      <c r="E807">
        <v>46</v>
      </c>
      <c r="F807">
        <v>188</v>
      </c>
      <c r="G807">
        <v>472</v>
      </c>
      <c r="H807">
        <v>696</v>
      </c>
      <c r="I807" t="s">
        <v>1731</v>
      </c>
      <c r="J807" t="s">
        <v>1732</v>
      </c>
      <c r="L807" t="s">
        <v>1733</v>
      </c>
      <c r="M807" t="s">
        <v>85</v>
      </c>
      <c r="O807" t="s">
        <v>14</v>
      </c>
      <c r="P807" t="s">
        <v>1734</v>
      </c>
      <c r="Q807" t="s">
        <v>1735</v>
      </c>
      <c r="R807">
        <v>2013</v>
      </c>
      <c r="S807" t="s">
        <v>1736</v>
      </c>
      <c r="U807" t="s">
        <v>1737</v>
      </c>
      <c r="V807" t="s">
        <v>1738</v>
      </c>
      <c r="W807" t="s">
        <v>91</v>
      </c>
      <c r="X807" t="s">
        <v>126</v>
      </c>
      <c r="Y807" t="s">
        <v>190</v>
      </c>
      <c r="Z807" t="s">
        <v>191</v>
      </c>
      <c r="AA807" t="s">
        <v>496</v>
      </c>
      <c r="AB807" t="s">
        <v>660</v>
      </c>
      <c r="AC807" t="s">
        <v>661</v>
      </c>
      <c r="AD807" t="s">
        <v>132</v>
      </c>
      <c r="AE807" t="s">
        <v>133</v>
      </c>
      <c r="AF807" t="s">
        <v>100</v>
      </c>
      <c r="AG807" t="s">
        <v>102</v>
      </c>
      <c r="AH807" t="s">
        <v>102</v>
      </c>
      <c r="AI807" t="s">
        <v>134</v>
      </c>
      <c r="AJ807" t="s">
        <v>135</v>
      </c>
      <c r="AM807" t="s">
        <v>136</v>
      </c>
      <c r="AN807" t="s">
        <v>106</v>
      </c>
      <c r="AO807">
        <v>45.464166666700002</v>
      </c>
      <c r="AP807">
        <v>-78.501944444399996</v>
      </c>
      <c r="AQ807">
        <v>434</v>
      </c>
      <c r="AR807" t="s">
        <v>179</v>
      </c>
      <c r="AS807">
        <v>2004</v>
      </c>
      <c r="AW807" t="s">
        <v>108</v>
      </c>
      <c r="AX807">
        <v>8.5</v>
      </c>
      <c r="AY807" t="s">
        <v>103</v>
      </c>
      <c r="AZ807" t="s">
        <v>109</v>
      </c>
      <c r="BA807" t="s">
        <v>138</v>
      </c>
      <c r="BB807">
        <v>11</v>
      </c>
      <c r="BC807">
        <v>16</v>
      </c>
      <c r="BD807">
        <v>1</v>
      </c>
      <c r="BE807" t="s">
        <v>111</v>
      </c>
      <c r="BG807">
        <f>1/7</f>
        <v>0.14285714285714285</v>
      </c>
      <c r="BR807" t="s">
        <v>69</v>
      </c>
      <c r="BS807" t="s">
        <v>1740</v>
      </c>
      <c r="BU807" t="s">
        <v>1741</v>
      </c>
      <c r="BV807">
        <v>26.6904</v>
      </c>
      <c r="BW807">
        <v>0.61084638499999999</v>
      </c>
      <c r="BX807">
        <v>45</v>
      </c>
      <c r="BY807">
        <v>28.586089999999999</v>
      </c>
      <c r="BZ807">
        <v>0.27765744799999997</v>
      </c>
      <c r="CA807">
        <v>45</v>
      </c>
      <c r="CB807" t="s">
        <v>113</v>
      </c>
      <c r="CC807" t="s">
        <v>319</v>
      </c>
    </row>
    <row r="808" spans="1:81" x14ac:dyDescent="0.25">
      <c r="A808" t="s">
        <v>81</v>
      </c>
      <c r="B808">
        <v>807</v>
      </c>
      <c r="C808">
        <v>146</v>
      </c>
      <c r="D808">
        <v>44</v>
      </c>
      <c r="E808">
        <v>47</v>
      </c>
      <c r="F808">
        <v>189</v>
      </c>
      <c r="G808">
        <v>473</v>
      </c>
      <c r="H808">
        <v>697</v>
      </c>
      <c r="I808" t="s">
        <v>1742</v>
      </c>
      <c r="J808" t="s">
        <v>1732</v>
      </c>
      <c r="L808" t="s">
        <v>1733</v>
      </c>
      <c r="M808" t="s">
        <v>85</v>
      </c>
      <c r="O808" t="s">
        <v>14</v>
      </c>
      <c r="P808" t="s">
        <v>1734</v>
      </c>
      <c r="Q808" t="s">
        <v>1735</v>
      </c>
      <c r="R808">
        <v>2013</v>
      </c>
      <c r="S808" t="s">
        <v>1736</v>
      </c>
      <c r="U808" t="s">
        <v>1737</v>
      </c>
      <c r="V808" t="s">
        <v>1738</v>
      </c>
      <c r="W808" t="s">
        <v>91</v>
      </c>
      <c r="X808" t="s">
        <v>126</v>
      </c>
      <c r="Y808" t="s">
        <v>190</v>
      </c>
      <c r="Z808" t="s">
        <v>191</v>
      </c>
      <c r="AA808" t="s">
        <v>496</v>
      </c>
      <c r="AB808" t="s">
        <v>660</v>
      </c>
      <c r="AC808" t="s">
        <v>661</v>
      </c>
      <c r="AD808" t="s">
        <v>132</v>
      </c>
      <c r="AE808" t="s">
        <v>133</v>
      </c>
      <c r="AF808" t="s">
        <v>100</v>
      </c>
      <c r="AG808" t="s">
        <v>102</v>
      </c>
      <c r="AH808" t="s">
        <v>102</v>
      </c>
      <c r="AI808" t="s">
        <v>134</v>
      </c>
      <c r="AJ808" t="s">
        <v>135</v>
      </c>
      <c r="AM808" t="s">
        <v>136</v>
      </c>
      <c r="AN808" t="s">
        <v>106</v>
      </c>
      <c r="AO808">
        <v>45.691944444400001</v>
      </c>
      <c r="AP808">
        <v>78.501944444399996</v>
      </c>
      <c r="AQ808">
        <v>408</v>
      </c>
      <c r="AR808" t="s">
        <v>179</v>
      </c>
      <c r="AS808">
        <v>2004</v>
      </c>
      <c r="AW808" t="s">
        <v>108</v>
      </c>
      <c r="AX808">
        <v>8.5</v>
      </c>
      <c r="AY808" t="s">
        <v>103</v>
      </c>
      <c r="AZ808" t="s">
        <v>109</v>
      </c>
      <c r="BA808" t="s">
        <v>138</v>
      </c>
      <c r="BB808">
        <v>6</v>
      </c>
      <c r="BC808">
        <v>11</v>
      </c>
      <c r="BD808">
        <v>1</v>
      </c>
      <c r="BE808" t="s">
        <v>111</v>
      </c>
      <c r="BG808">
        <f>1/7</f>
        <v>0.14285714285714285</v>
      </c>
      <c r="BR808" t="s">
        <v>69</v>
      </c>
      <c r="BU808" t="s">
        <v>1739</v>
      </c>
      <c r="BV808">
        <v>25.589400000000001</v>
      </c>
      <c r="BW808">
        <v>0.49978340599999999</v>
      </c>
      <c r="BX808">
        <v>45</v>
      </c>
      <c r="BY808">
        <v>26.980129999999999</v>
      </c>
      <c r="BZ808">
        <v>0.55531489499999998</v>
      </c>
      <c r="CA808">
        <v>45</v>
      </c>
      <c r="CB808" t="s">
        <v>113</v>
      </c>
      <c r="CC808" t="s">
        <v>319</v>
      </c>
    </row>
    <row r="809" spans="1:81" x14ac:dyDescent="0.25">
      <c r="A809" t="s">
        <v>81</v>
      </c>
      <c r="B809">
        <v>808</v>
      </c>
      <c r="C809">
        <v>146</v>
      </c>
      <c r="D809">
        <v>44</v>
      </c>
      <c r="E809">
        <v>47</v>
      </c>
      <c r="F809">
        <v>189</v>
      </c>
      <c r="G809">
        <v>473</v>
      </c>
      <c r="H809">
        <v>698</v>
      </c>
      <c r="I809" t="s">
        <v>1742</v>
      </c>
      <c r="J809" t="s">
        <v>1732</v>
      </c>
      <c r="L809" t="s">
        <v>1733</v>
      </c>
      <c r="M809" t="s">
        <v>85</v>
      </c>
      <c r="O809" t="s">
        <v>14</v>
      </c>
      <c r="P809" t="s">
        <v>1734</v>
      </c>
      <c r="Q809" t="s">
        <v>1735</v>
      </c>
      <c r="R809">
        <v>2013</v>
      </c>
      <c r="S809" t="s">
        <v>1736</v>
      </c>
      <c r="U809" t="s">
        <v>1737</v>
      </c>
      <c r="V809" t="s">
        <v>1738</v>
      </c>
      <c r="W809" t="s">
        <v>91</v>
      </c>
      <c r="X809" t="s">
        <v>126</v>
      </c>
      <c r="Y809" t="s">
        <v>190</v>
      </c>
      <c r="Z809" t="s">
        <v>191</v>
      </c>
      <c r="AA809" t="s">
        <v>496</v>
      </c>
      <c r="AB809" t="s">
        <v>660</v>
      </c>
      <c r="AC809" t="s">
        <v>661</v>
      </c>
      <c r="AD809" t="s">
        <v>132</v>
      </c>
      <c r="AE809" t="s">
        <v>133</v>
      </c>
      <c r="AF809" t="s">
        <v>100</v>
      </c>
      <c r="AG809" t="s">
        <v>102</v>
      </c>
      <c r="AH809" t="s">
        <v>102</v>
      </c>
      <c r="AI809" t="s">
        <v>134</v>
      </c>
      <c r="AJ809" t="s">
        <v>135</v>
      </c>
      <c r="AM809" t="s">
        <v>136</v>
      </c>
      <c r="AN809" t="s">
        <v>106</v>
      </c>
      <c r="AO809">
        <v>45.691944444400001</v>
      </c>
      <c r="AP809">
        <v>78.501944444399996</v>
      </c>
      <c r="AQ809">
        <v>408</v>
      </c>
      <c r="AR809" t="s">
        <v>179</v>
      </c>
      <c r="AS809">
        <v>2004</v>
      </c>
      <c r="AW809" t="s">
        <v>108</v>
      </c>
      <c r="AX809">
        <v>8.5</v>
      </c>
      <c r="AY809" t="s">
        <v>103</v>
      </c>
      <c r="AZ809" t="s">
        <v>109</v>
      </c>
      <c r="BA809" t="s">
        <v>138</v>
      </c>
      <c r="BB809">
        <v>11</v>
      </c>
      <c r="BC809">
        <v>16</v>
      </c>
      <c r="BD809">
        <v>1</v>
      </c>
      <c r="BE809" t="s">
        <v>111</v>
      </c>
      <c r="BG809">
        <f>1/7</f>
        <v>0.14285714285714285</v>
      </c>
      <c r="BR809" t="s">
        <v>69</v>
      </c>
      <c r="BS809" t="s">
        <v>1740</v>
      </c>
      <c r="BU809" t="s">
        <v>1741</v>
      </c>
      <c r="BV809">
        <v>26.980129999999999</v>
      </c>
      <c r="BW809">
        <v>0.55531489499999998</v>
      </c>
      <c r="BX809">
        <v>45</v>
      </c>
      <c r="BY809">
        <v>28.594370000000001</v>
      </c>
      <c r="BZ809">
        <v>0.33318893700000002</v>
      </c>
      <c r="CA809">
        <v>45</v>
      </c>
      <c r="CB809" t="s">
        <v>113</v>
      </c>
      <c r="CC809" t="s">
        <v>319</v>
      </c>
    </row>
    <row r="810" spans="1:81" x14ac:dyDescent="0.25">
      <c r="A810" t="s">
        <v>81</v>
      </c>
      <c r="B810">
        <v>809</v>
      </c>
      <c r="C810">
        <v>147</v>
      </c>
      <c r="D810">
        <v>135</v>
      </c>
      <c r="E810">
        <v>177</v>
      </c>
      <c r="F810">
        <v>190</v>
      </c>
      <c r="G810">
        <v>474</v>
      </c>
      <c r="H810">
        <v>699</v>
      </c>
      <c r="I810" t="s">
        <v>1683</v>
      </c>
      <c r="J810" t="s">
        <v>184</v>
      </c>
      <c r="L810" t="s">
        <v>1743</v>
      </c>
      <c r="M810" t="s">
        <v>85</v>
      </c>
      <c r="O810" t="s">
        <v>14</v>
      </c>
      <c r="P810" t="s">
        <v>1744</v>
      </c>
      <c r="Q810" t="s">
        <v>1745</v>
      </c>
      <c r="R810">
        <v>2018</v>
      </c>
      <c r="S810" t="s">
        <v>1746</v>
      </c>
      <c r="U810" t="s">
        <v>1747</v>
      </c>
      <c r="V810" t="s">
        <v>1748</v>
      </c>
      <c r="W810" t="s">
        <v>91</v>
      </c>
      <c r="X810" t="s">
        <v>126</v>
      </c>
      <c r="Y810" t="s">
        <v>793</v>
      </c>
      <c r="Z810" t="s">
        <v>794</v>
      </c>
      <c r="AA810" t="s">
        <v>1749</v>
      </c>
      <c r="AB810" t="s">
        <v>1750</v>
      </c>
      <c r="AC810" t="s">
        <v>1751</v>
      </c>
      <c r="AD810" t="s">
        <v>132</v>
      </c>
      <c r="AE810" t="s">
        <v>133</v>
      </c>
      <c r="AF810" t="s">
        <v>100</v>
      </c>
      <c r="AG810" t="s">
        <v>102</v>
      </c>
      <c r="AH810" t="s">
        <v>102</v>
      </c>
      <c r="AI810" t="s">
        <v>134</v>
      </c>
      <c r="AJ810" t="s">
        <v>135</v>
      </c>
      <c r="AM810" t="s">
        <v>136</v>
      </c>
      <c r="AN810" t="s">
        <v>106</v>
      </c>
      <c r="AW810" t="s">
        <v>108</v>
      </c>
      <c r="AX810">
        <v>28</v>
      </c>
      <c r="AY810" t="s">
        <v>103</v>
      </c>
      <c r="AZ810" t="s">
        <v>109</v>
      </c>
      <c r="BA810" t="s">
        <v>110</v>
      </c>
      <c r="BB810">
        <v>20</v>
      </c>
      <c r="BC810">
        <v>23</v>
      </c>
      <c r="BD810">
        <v>1</v>
      </c>
      <c r="BE810" t="s">
        <v>111</v>
      </c>
      <c r="BF810">
        <v>30</v>
      </c>
      <c r="BG810">
        <v>1</v>
      </c>
      <c r="BM810">
        <v>6.6</v>
      </c>
      <c r="BO810">
        <v>7.8</v>
      </c>
      <c r="BS810" t="s">
        <v>1752</v>
      </c>
      <c r="BT810" t="s">
        <v>452</v>
      </c>
      <c r="BU810" t="s">
        <v>1753</v>
      </c>
      <c r="BV810">
        <v>39.186410000000002</v>
      </c>
      <c r="BW810" t="s">
        <v>454</v>
      </c>
      <c r="BX810">
        <v>10</v>
      </c>
      <c r="BY810">
        <v>40.955770000000001</v>
      </c>
      <c r="BZ810" t="s">
        <v>454</v>
      </c>
      <c r="CA810">
        <v>10</v>
      </c>
      <c r="CB810" t="s">
        <v>113</v>
      </c>
      <c r="CC810" t="s">
        <v>1754</v>
      </c>
    </row>
    <row r="811" spans="1:81" x14ac:dyDescent="0.25">
      <c r="A811" t="s">
        <v>81</v>
      </c>
      <c r="B811">
        <v>810</v>
      </c>
      <c r="C811">
        <v>147</v>
      </c>
      <c r="D811">
        <v>135</v>
      </c>
      <c r="E811">
        <v>177</v>
      </c>
      <c r="F811">
        <v>190</v>
      </c>
      <c r="G811">
        <v>474</v>
      </c>
      <c r="H811">
        <v>700</v>
      </c>
      <c r="I811" t="s">
        <v>1683</v>
      </c>
      <c r="J811" t="s">
        <v>184</v>
      </c>
      <c r="L811" t="s">
        <v>1743</v>
      </c>
      <c r="M811" t="s">
        <v>85</v>
      </c>
      <c r="O811" t="s">
        <v>14</v>
      </c>
      <c r="P811" t="s">
        <v>1744</v>
      </c>
      <c r="Q811" t="s">
        <v>1745</v>
      </c>
      <c r="R811">
        <v>2018</v>
      </c>
      <c r="S811" t="s">
        <v>1746</v>
      </c>
      <c r="U811" t="s">
        <v>1747</v>
      </c>
      <c r="V811" t="s">
        <v>1748</v>
      </c>
      <c r="W811" t="s">
        <v>91</v>
      </c>
      <c r="X811" t="s">
        <v>126</v>
      </c>
      <c r="Y811" t="s">
        <v>793</v>
      </c>
      <c r="Z811" t="s">
        <v>794</v>
      </c>
      <c r="AA811" t="s">
        <v>1749</v>
      </c>
      <c r="AB811" t="s">
        <v>1750</v>
      </c>
      <c r="AC811" t="s">
        <v>1751</v>
      </c>
      <c r="AD811" t="s">
        <v>132</v>
      </c>
      <c r="AE811" t="s">
        <v>133</v>
      </c>
      <c r="AF811" t="s">
        <v>100</v>
      </c>
      <c r="AG811" t="s">
        <v>102</v>
      </c>
      <c r="AH811" t="s">
        <v>102</v>
      </c>
      <c r="AI811" t="s">
        <v>134</v>
      </c>
      <c r="AJ811" t="s">
        <v>135</v>
      </c>
      <c r="AM811" t="s">
        <v>136</v>
      </c>
      <c r="AN811" t="s">
        <v>106</v>
      </c>
      <c r="AW811" t="s">
        <v>108</v>
      </c>
      <c r="AX811">
        <v>28</v>
      </c>
      <c r="AY811" t="s">
        <v>103</v>
      </c>
      <c r="AZ811" t="s">
        <v>109</v>
      </c>
      <c r="BA811" t="s">
        <v>110</v>
      </c>
      <c r="BB811">
        <v>23</v>
      </c>
      <c r="BC811">
        <v>26</v>
      </c>
      <c r="BD811">
        <v>1</v>
      </c>
      <c r="BE811" t="s">
        <v>111</v>
      </c>
      <c r="BF811">
        <v>30</v>
      </c>
      <c r="BG811">
        <v>1</v>
      </c>
      <c r="BM811">
        <v>6.6</v>
      </c>
      <c r="BO811">
        <v>7.8</v>
      </c>
      <c r="BS811" t="s">
        <v>1752</v>
      </c>
      <c r="BT811" t="s">
        <v>452</v>
      </c>
      <c r="BU811" t="s">
        <v>1753</v>
      </c>
      <c r="BV811">
        <v>40.955770000000001</v>
      </c>
      <c r="BW811" t="s">
        <v>454</v>
      </c>
      <c r="BX811">
        <v>10</v>
      </c>
      <c r="BY811">
        <v>41.271720000000002</v>
      </c>
      <c r="BZ811" t="s">
        <v>454</v>
      </c>
      <c r="CA811">
        <v>10</v>
      </c>
      <c r="CB811" t="s">
        <v>113</v>
      </c>
      <c r="CC811" t="s">
        <v>1754</v>
      </c>
    </row>
    <row r="812" spans="1:81" x14ac:dyDescent="0.25">
      <c r="A812" t="s">
        <v>81</v>
      </c>
      <c r="B812">
        <v>811</v>
      </c>
      <c r="C812">
        <v>147</v>
      </c>
      <c r="D812">
        <v>135</v>
      </c>
      <c r="E812">
        <v>177</v>
      </c>
      <c r="F812">
        <v>190</v>
      </c>
      <c r="G812">
        <v>474</v>
      </c>
      <c r="H812">
        <v>701</v>
      </c>
      <c r="I812" t="s">
        <v>1683</v>
      </c>
      <c r="J812" t="s">
        <v>184</v>
      </c>
      <c r="L812" t="s">
        <v>1743</v>
      </c>
      <c r="M812" t="s">
        <v>85</v>
      </c>
      <c r="O812" t="s">
        <v>14</v>
      </c>
      <c r="P812" t="s">
        <v>1744</v>
      </c>
      <c r="Q812" t="s">
        <v>1745</v>
      </c>
      <c r="R812">
        <v>2018</v>
      </c>
      <c r="S812" t="s">
        <v>1746</v>
      </c>
      <c r="U812" t="s">
        <v>1747</v>
      </c>
      <c r="V812" t="s">
        <v>1748</v>
      </c>
      <c r="W812" t="s">
        <v>91</v>
      </c>
      <c r="X812" t="s">
        <v>126</v>
      </c>
      <c r="Y812" t="s">
        <v>793</v>
      </c>
      <c r="Z812" t="s">
        <v>794</v>
      </c>
      <c r="AA812" t="s">
        <v>1749</v>
      </c>
      <c r="AB812" t="s">
        <v>1750</v>
      </c>
      <c r="AC812" t="s">
        <v>1751</v>
      </c>
      <c r="AD812" t="s">
        <v>132</v>
      </c>
      <c r="AE812" t="s">
        <v>133</v>
      </c>
      <c r="AF812" t="s">
        <v>100</v>
      </c>
      <c r="AG812" t="s">
        <v>102</v>
      </c>
      <c r="AH812" t="s">
        <v>102</v>
      </c>
      <c r="AI812" t="s">
        <v>134</v>
      </c>
      <c r="AJ812" t="s">
        <v>135</v>
      </c>
      <c r="AM812" t="s">
        <v>136</v>
      </c>
      <c r="AN812" t="s">
        <v>106</v>
      </c>
      <c r="AW812" t="s">
        <v>108</v>
      </c>
      <c r="AX812">
        <v>28</v>
      </c>
      <c r="AY812" t="s">
        <v>103</v>
      </c>
      <c r="AZ812" t="s">
        <v>109</v>
      </c>
      <c r="BA812" t="s">
        <v>110</v>
      </c>
      <c r="BB812">
        <v>26</v>
      </c>
      <c r="BC812">
        <v>29</v>
      </c>
      <c r="BD812">
        <v>1</v>
      </c>
      <c r="BE812" t="s">
        <v>111</v>
      </c>
      <c r="BF812">
        <v>30</v>
      </c>
      <c r="BG812">
        <v>1</v>
      </c>
      <c r="BM812">
        <v>6.6</v>
      </c>
      <c r="BO812">
        <v>7.8</v>
      </c>
      <c r="BS812" t="s">
        <v>1752</v>
      </c>
      <c r="BT812" t="s">
        <v>452</v>
      </c>
      <c r="BU812" t="s">
        <v>1753</v>
      </c>
      <c r="BV812">
        <v>41.271720000000002</v>
      </c>
      <c r="BW812" t="s">
        <v>454</v>
      </c>
      <c r="BX812">
        <v>10</v>
      </c>
      <c r="BY812">
        <v>43.167459999999998</v>
      </c>
      <c r="BZ812" t="s">
        <v>454</v>
      </c>
      <c r="CA812">
        <v>10</v>
      </c>
      <c r="CB812" t="s">
        <v>113</v>
      </c>
      <c r="CC812" t="s">
        <v>1754</v>
      </c>
    </row>
    <row r="813" spans="1:81" x14ac:dyDescent="0.25">
      <c r="A813" t="s">
        <v>81</v>
      </c>
      <c r="B813">
        <v>812</v>
      </c>
      <c r="C813">
        <v>147</v>
      </c>
      <c r="D813">
        <v>135</v>
      </c>
      <c r="E813">
        <v>177</v>
      </c>
      <c r="F813">
        <v>190</v>
      </c>
      <c r="G813">
        <v>474</v>
      </c>
      <c r="H813">
        <v>702</v>
      </c>
      <c r="I813" t="s">
        <v>1683</v>
      </c>
      <c r="J813" t="s">
        <v>184</v>
      </c>
      <c r="L813" t="s">
        <v>1743</v>
      </c>
      <c r="M813" t="s">
        <v>85</v>
      </c>
      <c r="O813" t="s">
        <v>14</v>
      </c>
      <c r="P813" t="s">
        <v>1744</v>
      </c>
      <c r="Q813" t="s">
        <v>1745</v>
      </c>
      <c r="R813">
        <v>2018</v>
      </c>
      <c r="S813" t="s">
        <v>1746</v>
      </c>
      <c r="U813" t="s">
        <v>1747</v>
      </c>
      <c r="V813" t="s">
        <v>1748</v>
      </c>
      <c r="W813" t="s">
        <v>91</v>
      </c>
      <c r="X813" t="s">
        <v>126</v>
      </c>
      <c r="Y813" t="s">
        <v>793</v>
      </c>
      <c r="Z813" t="s">
        <v>794</v>
      </c>
      <c r="AA813" t="s">
        <v>1749</v>
      </c>
      <c r="AB813" t="s">
        <v>1750</v>
      </c>
      <c r="AC813" t="s">
        <v>1751</v>
      </c>
      <c r="AD813" t="s">
        <v>132</v>
      </c>
      <c r="AE813" t="s">
        <v>133</v>
      </c>
      <c r="AF813" t="s">
        <v>100</v>
      </c>
      <c r="AG813" t="s">
        <v>102</v>
      </c>
      <c r="AH813" t="s">
        <v>102</v>
      </c>
      <c r="AI813" t="s">
        <v>134</v>
      </c>
      <c r="AJ813" t="s">
        <v>135</v>
      </c>
      <c r="AM813" t="s">
        <v>136</v>
      </c>
      <c r="AN813" t="s">
        <v>106</v>
      </c>
      <c r="AW813" t="s">
        <v>108</v>
      </c>
      <c r="AX813">
        <v>28</v>
      </c>
      <c r="AY813" t="s">
        <v>103</v>
      </c>
      <c r="AZ813" t="s">
        <v>109</v>
      </c>
      <c r="BA813" t="s">
        <v>110</v>
      </c>
      <c r="BB813">
        <v>29</v>
      </c>
      <c r="BC813">
        <v>32</v>
      </c>
      <c r="BD813">
        <v>1</v>
      </c>
      <c r="BE813" t="s">
        <v>111</v>
      </c>
      <c r="BF813">
        <v>30</v>
      </c>
      <c r="BG813">
        <v>1</v>
      </c>
      <c r="BM813">
        <v>6.6</v>
      </c>
      <c r="BO813">
        <v>7.8</v>
      </c>
      <c r="BS813" t="s">
        <v>1752</v>
      </c>
      <c r="BT813" t="s">
        <v>452</v>
      </c>
      <c r="BU813" t="s">
        <v>1753</v>
      </c>
      <c r="BV813">
        <v>43.167459999999998</v>
      </c>
      <c r="BW813" t="s">
        <v>454</v>
      </c>
      <c r="BX813">
        <v>10</v>
      </c>
      <c r="BY813">
        <v>43.483409999999999</v>
      </c>
      <c r="BZ813" t="s">
        <v>454</v>
      </c>
      <c r="CA813">
        <v>10</v>
      </c>
      <c r="CB813" t="s">
        <v>113</v>
      </c>
      <c r="CC813" t="s">
        <v>1754</v>
      </c>
    </row>
    <row r="814" spans="1:81" x14ac:dyDescent="0.25">
      <c r="A814" t="s">
        <v>81</v>
      </c>
      <c r="B814">
        <v>813</v>
      </c>
      <c r="C814">
        <v>148</v>
      </c>
      <c r="D814">
        <v>136</v>
      </c>
      <c r="E814">
        <v>178</v>
      </c>
      <c r="F814">
        <v>191</v>
      </c>
      <c r="G814">
        <v>475</v>
      </c>
      <c r="H814">
        <v>703</v>
      </c>
      <c r="I814" t="s">
        <v>1683</v>
      </c>
      <c r="J814" t="s">
        <v>119</v>
      </c>
      <c r="L814" t="s">
        <v>1755</v>
      </c>
      <c r="M814" t="s">
        <v>85</v>
      </c>
      <c r="O814" t="s">
        <v>14</v>
      </c>
      <c r="P814" t="s">
        <v>1756</v>
      </c>
      <c r="Q814" t="s">
        <v>1757</v>
      </c>
      <c r="R814">
        <v>2018</v>
      </c>
      <c r="S814" t="s">
        <v>716</v>
      </c>
      <c r="U814" t="s">
        <v>1758</v>
      </c>
      <c r="V814" t="s">
        <v>1759</v>
      </c>
      <c r="W814" t="s">
        <v>1380</v>
      </c>
      <c r="X814" t="s">
        <v>1585</v>
      </c>
      <c r="Y814" t="s">
        <v>1760</v>
      </c>
      <c r="Z814" t="s">
        <v>1761</v>
      </c>
      <c r="AA814" t="s">
        <v>1762</v>
      </c>
      <c r="AB814" t="s">
        <v>1763</v>
      </c>
      <c r="AC814" t="s">
        <v>1764</v>
      </c>
      <c r="AD814" t="s">
        <v>132</v>
      </c>
      <c r="AE814" t="s">
        <v>316</v>
      </c>
      <c r="AF814" t="s">
        <v>100</v>
      </c>
      <c r="AG814" t="s">
        <v>102</v>
      </c>
      <c r="AH814" t="s">
        <v>102</v>
      </c>
      <c r="AI814" t="s">
        <v>134</v>
      </c>
      <c r="AJ814" t="s">
        <v>135</v>
      </c>
      <c r="AM814" t="s">
        <v>136</v>
      </c>
      <c r="AN814" t="s">
        <v>106</v>
      </c>
      <c r="AO814">
        <v>-41.866666666699999</v>
      </c>
      <c r="AP814">
        <v>-73.849999999999994</v>
      </c>
      <c r="AQ814">
        <f t="shared" ref="AQ814:AQ835" si="39">-(5+10)/2</f>
        <v>-7.5</v>
      </c>
      <c r="AV814">
        <v>5</v>
      </c>
      <c r="AW814" t="s">
        <v>108</v>
      </c>
      <c r="AX814">
        <v>12</v>
      </c>
      <c r="AY814" t="s">
        <v>103</v>
      </c>
      <c r="AZ814" t="s">
        <v>109</v>
      </c>
      <c r="BA814" t="s">
        <v>1031</v>
      </c>
      <c r="BB814">
        <v>6</v>
      </c>
      <c r="BC814">
        <v>8</v>
      </c>
      <c r="BE814" t="s">
        <v>139</v>
      </c>
      <c r="BF814">
        <v>5</v>
      </c>
      <c r="BG814">
        <v>1</v>
      </c>
      <c r="BN814">
        <v>30</v>
      </c>
      <c r="BR814" t="s">
        <v>449</v>
      </c>
      <c r="BT814" t="s">
        <v>452</v>
      </c>
      <c r="BU814" t="s">
        <v>1765</v>
      </c>
      <c r="BV814">
        <v>26.344650000000001</v>
      </c>
      <c r="BW814" t="s">
        <v>454</v>
      </c>
      <c r="BX814">
        <v>9</v>
      </c>
      <c r="BY814">
        <v>21.51436</v>
      </c>
      <c r="BZ814" t="s">
        <v>454</v>
      </c>
      <c r="CA814">
        <v>9</v>
      </c>
      <c r="CB814" t="s">
        <v>113</v>
      </c>
      <c r="CC814" t="s">
        <v>1754</v>
      </c>
    </row>
    <row r="815" spans="1:81" x14ac:dyDescent="0.25">
      <c r="A815" t="s">
        <v>81</v>
      </c>
      <c r="B815">
        <v>814</v>
      </c>
      <c r="C815">
        <v>148</v>
      </c>
      <c r="D815">
        <v>136</v>
      </c>
      <c r="E815">
        <v>178</v>
      </c>
      <c r="F815">
        <v>191</v>
      </c>
      <c r="G815">
        <v>475</v>
      </c>
      <c r="H815">
        <v>704</v>
      </c>
      <c r="I815" t="s">
        <v>1683</v>
      </c>
      <c r="J815" t="s">
        <v>119</v>
      </c>
      <c r="L815" t="s">
        <v>1755</v>
      </c>
      <c r="M815" t="s">
        <v>85</v>
      </c>
      <c r="O815" t="s">
        <v>14</v>
      </c>
      <c r="P815" t="s">
        <v>1756</v>
      </c>
      <c r="Q815" t="s">
        <v>1757</v>
      </c>
      <c r="R815">
        <v>2018</v>
      </c>
      <c r="S815" t="s">
        <v>716</v>
      </c>
      <c r="U815" t="s">
        <v>1758</v>
      </c>
      <c r="V815" t="s">
        <v>1759</v>
      </c>
      <c r="W815" t="s">
        <v>1380</v>
      </c>
      <c r="X815" t="s">
        <v>1585</v>
      </c>
      <c r="Y815" t="s">
        <v>1760</v>
      </c>
      <c r="Z815" t="s">
        <v>1761</v>
      </c>
      <c r="AA815" t="s">
        <v>1762</v>
      </c>
      <c r="AB815" t="s">
        <v>1763</v>
      </c>
      <c r="AC815" t="s">
        <v>1764</v>
      </c>
      <c r="AD815" t="s">
        <v>132</v>
      </c>
      <c r="AE815" t="s">
        <v>316</v>
      </c>
      <c r="AF815" t="s">
        <v>100</v>
      </c>
      <c r="AG815" t="s">
        <v>102</v>
      </c>
      <c r="AH815" t="s">
        <v>102</v>
      </c>
      <c r="AI815" t="s">
        <v>134</v>
      </c>
      <c r="AJ815" t="s">
        <v>135</v>
      </c>
      <c r="AM815" t="s">
        <v>136</v>
      </c>
      <c r="AN815" t="s">
        <v>106</v>
      </c>
      <c r="AO815">
        <v>-41.866666666699999</v>
      </c>
      <c r="AP815">
        <v>-73.849999999999994</v>
      </c>
      <c r="AQ815">
        <f t="shared" si="39"/>
        <v>-7.5</v>
      </c>
      <c r="AV815">
        <v>5</v>
      </c>
      <c r="AW815" t="s">
        <v>108</v>
      </c>
      <c r="AX815">
        <v>12</v>
      </c>
      <c r="AY815" t="s">
        <v>103</v>
      </c>
      <c r="AZ815" t="s">
        <v>109</v>
      </c>
      <c r="BA815" t="s">
        <v>1031</v>
      </c>
      <c r="BB815">
        <v>8</v>
      </c>
      <c r="BC815">
        <v>10</v>
      </c>
      <c r="BE815" t="s">
        <v>139</v>
      </c>
      <c r="BF815">
        <v>5</v>
      </c>
      <c r="BG815">
        <v>1</v>
      </c>
      <c r="BN815">
        <v>30</v>
      </c>
      <c r="BR815" t="s">
        <v>449</v>
      </c>
      <c r="BT815" t="s">
        <v>452</v>
      </c>
      <c r="BU815" t="s">
        <v>1765</v>
      </c>
      <c r="BV815">
        <v>21.51436</v>
      </c>
      <c r="BW815" t="s">
        <v>454</v>
      </c>
      <c r="BX815">
        <v>9</v>
      </c>
      <c r="BY815">
        <v>23.211490000000001</v>
      </c>
      <c r="BZ815" t="s">
        <v>454</v>
      </c>
      <c r="CA815">
        <v>9</v>
      </c>
      <c r="CB815" t="s">
        <v>113</v>
      </c>
      <c r="CC815" t="s">
        <v>1754</v>
      </c>
    </row>
    <row r="816" spans="1:81" x14ac:dyDescent="0.25">
      <c r="A816" t="s">
        <v>81</v>
      </c>
      <c r="B816">
        <v>815</v>
      </c>
      <c r="C816">
        <v>148</v>
      </c>
      <c r="D816">
        <v>136</v>
      </c>
      <c r="E816">
        <v>178</v>
      </c>
      <c r="F816">
        <v>191</v>
      </c>
      <c r="G816">
        <v>475</v>
      </c>
      <c r="H816">
        <v>705</v>
      </c>
      <c r="I816" t="s">
        <v>1683</v>
      </c>
      <c r="J816" t="s">
        <v>119</v>
      </c>
      <c r="L816" t="s">
        <v>1755</v>
      </c>
      <c r="M816" t="s">
        <v>85</v>
      </c>
      <c r="O816" t="s">
        <v>14</v>
      </c>
      <c r="P816" t="s">
        <v>1756</v>
      </c>
      <c r="Q816" t="s">
        <v>1757</v>
      </c>
      <c r="R816">
        <v>2018</v>
      </c>
      <c r="S816" t="s">
        <v>716</v>
      </c>
      <c r="U816" t="s">
        <v>1758</v>
      </c>
      <c r="V816" t="s">
        <v>1759</v>
      </c>
      <c r="W816" t="s">
        <v>1380</v>
      </c>
      <c r="X816" t="s">
        <v>1585</v>
      </c>
      <c r="Y816" t="s">
        <v>1760</v>
      </c>
      <c r="Z816" t="s">
        <v>1761</v>
      </c>
      <c r="AA816" t="s">
        <v>1762</v>
      </c>
      <c r="AB816" t="s">
        <v>1763</v>
      </c>
      <c r="AC816" t="s">
        <v>1764</v>
      </c>
      <c r="AD816" t="s">
        <v>132</v>
      </c>
      <c r="AE816" t="s">
        <v>316</v>
      </c>
      <c r="AF816" t="s">
        <v>100</v>
      </c>
      <c r="AG816" t="s">
        <v>102</v>
      </c>
      <c r="AH816" t="s">
        <v>102</v>
      </c>
      <c r="AI816" t="s">
        <v>134</v>
      </c>
      <c r="AJ816" t="s">
        <v>135</v>
      </c>
      <c r="AM816" t="s">
        <v>136</v>
      </c>
      <c r="AN816" t="s">
        <v>106</v>
      </c>
      <c r="AO816">
        <v>-41.866666666699999</v>
      </c>
      <c r="AP816">
        <v>-73.849999999999994</v>
      </c>
      <c r="AQ816">
        <f t="shared" si="39"/>
        <v>-7.5</v>
      </c>
      <c r="AV816">
        <v>5</v>
      </c>
      <c r="AW816" t="s">
        <v>108</v>
      </c>
      <c r="AX816">
        <v>12</v>
      </c>
      <c r="AY816" t="s">
        <v>134</v>
      </c>
      <c r="AZ816" t="s">
        <v>109</v>
      </c>
      <c r="BA816" t="s">
        <v>1031</v>
      </c>
      <c r="BB816">
        <v>10</v>
      </c>
      <c r="BC816">
        <v>12</v>
      </c>
      <c r="BE816" t="s">
        <v>139</v>
      </c>
      <c r="BF816">
        <v>5</v>
      </c>
      <c r="BG816">
        <v>1</v>
      </c>
      <c r="BN816">
        <v>30</v>
      </c>
      <c r="BR816" t="s">
        <v>449</v>
      </c>
      <c r="BS816" t="s">
        <v>1766</v>
      </c>
      <c r="BT816" t="s">
        <v>452</v>
      </c>
      <c r="BU816" t="s">
        <v>1767</v>
      </c>
      <c r="BV816">
        <v>23.211490000000001</v>
      </c>
      <c r="BW816" t="s">
        <v>454</v>
      </c>
      <c r="BX816">
        <v>9</v>
      </c>
      <c r="BY816">
        <v>23.73368</v>
      </c>
      <c r="BZ816" t="s">
        <v>454</v>
      </c>
      <c r="CA816">
        <v>9</v>
      </c>
      <c r="CB816" t="s">
        <v>113</v>
      </c>
      <c r="CC816" t="s">
        <v>1754</v>
      </c>
    </row>
    <row r="817" spans="1:81" x14ac:dyDescent="0.25">
      <c r="A817" t="s">
        <v>81</v>
      </c>
      <c r="B817">
        <v>816</v>
      </c>
      <c r="C817">
        <v>148</v>
      </c>
      <c r="D817">
        <v>136</v>
      </c>
      <c r="E817">
        <v>178</v>
      </c>
      <c r="F817">
        <v>191</v>
      </c>
      <c r="G817">
        <v>475</v>
      </c>
      <c r="H817">
        <v>706</v>
      </c>
      <c r="I817" t="s">
        <v>1683</v>
      </c>
      <c r="J817" t="s">
        <v>119</v>
      </c>
      <c r="L817" t="s">
        <v>1755</v>
      </c>
      <c r="M817" t="s">
        <v>85</v>
      </c>
      <c r="O817" t="s">
        <v>14</v>
      </c>
      <c r="P817" t="s">
        <v>1756</v>
      </c>
      <c r="Q817" t="s">
        <v>1757</v>
      </c>
      <c r="R817">
        <v>2018</v>
      </c>
      <c r="S817" t="s">
        <v>716</v>
      </c>
      <c r="U817" t="s">
        <v>1758</v>
      </c>
      <c r="V817" t="s">
        <v>1759</v>
      </c>
      <c r="W817" t="s">
        <v>1380</v>
      </c>
      <c r="X817" t="s">
        <v>1585</v>
      </c>
      <c r="Y817" t="s">
        <v>1760</v>
      </c>
      <c r="Z817" t="s">
        <v>1761</v>
      </c>
      <c r="AA817" t="s">
        <v>1762</v>
      </c>
      <c r="AB817" t="s">
        <v>1763</v>
      </c>
      <c r="AC817" t="s">
        <v>1764</v>
      </c>
      <c r="AD817" t="s">
        <v>132</v>
      </c>
      <c r="AE817" t="s">
        <v>316</v>
      </c>
      <c r="AF817" t="s">
        <v>100</v>
      </c>
      <c r="AG817" t="s">
        <v>102</v>
      </c>
      <c r="AH817" t="s">
        <v>102</v>
      </c>
      <c r="AI817" t="s">
        <v>134</v>
      </c>
      <c r="AJ817" t="s">
        <v>135</v>
      </c>
      <c r="AM817" t="s">
        <v>136</v>
      </c>
      <c r="AN817" t="s">
        <v>106</v>
      </c>
      <c r="AO817">
        <v>-41.866666666699999</v>
      </c>
      <c r="AP817">
        <v>-73.849999999999994</v>
      </c>
      <c r="AQ817">
        <f t="shared" si="39"/>
        <v>-7.5</v>
      </c>
      <c r="AV817">
        <v>5</v>
      </c>
      <c r="AW817" t="s">
        <v>108</v>
      </c>
      <c r="AX817">
        <v>12</v>
      </c>
      <c r="AY817" t="s">
        <v>134</v>
      </c>
      <c r="AZ817" t="s">
        <v>109</v>
      </c>
      <c r="BA817" t="s">
        <v>1031</v>
      </c>
      <c r="BB817">
        <v>12</v>
      </c>
      <c r="BC817">
        <v>14</v>
      </c>
      <c r="BE817" t="s">
        <v>139</v>
      </c>
      <c r="BF817">
        <v>5</v>
      </c>
      <c r="BG817">
        <v>1</v>
      </c>
      <c r="BN817">
        <v>30</v>
      </c>
      <c r="BR817" t="s">
        <v>449</v>
      </c>
      <c r="BS817" t="s">
        <v>1766</v>
      </c>
      <c r="BT817" t="s">
        <v>452</v>
      </c>
      <c r="BU817" t="s">
        <v>1767</v>
      </c>
      <c r="BV817">
        <v>23.73368</v>
      </c>
      <c r="BW817" t="s">
        <v>454</v>
      </c>
      <c r="BX817">
        <v>9</v>
      </c>
      <c r="BY817">
        <v>24.973890000000001</v>
      </c>
      <c r="BZ817" t="s">
        <v>454</v>
      </c>
      <c r="CA817">
        <v>9</v>
      </c>
      <c r="CB817" t="s">
        <v>113</v>
      </c>
      <c r="CC817" t="s">
        <v>1754</v>
      </c>
    </row>
    <row r="818" spans="1:81" x14ac:dyDescent="0.25">
      <c r="A818" t="s">
        <v>81</v>
      </c>
      <c r="B818">
        <v>817</v>
      </c>
      <c r="C818">
        <v>148</v>
      </c>
      <c r="D818">
        <v>136</v>
      </c>
      <c r="E818">
        <v>178</v>
      </c>
      <c r="F818">
        <v>191</v>
      </c>
      <c r="G818">
        <v>475</v>
      </c>
      <c r="H818">
        <v>707</v>
      </c>
      <c r="I818" t="s">
        <v>1683</v>
      </c>
      <c r="J818" t="s">
        <v>119</v>
      </c>
      <c r="L818" t="s">
        <v>1755</v>
      </c>
      <c r="M818" t="s">
        <v>85</v>
      </c>
      <c r="O818" t="s">
        <v>14</v>
      </c>
      <c r="P818" t="s">
        <v>1756</v>
      </c>
      <c r="Q818" t="s">
        <v>1757</v>
      </c>
      <c r="R818">
        <v>2018</v>
      </c>
      <c r="S818" t="s">
        <v>716</v>
      </c>
      <c r="U818" t="s">
        <v>1758</v>
      </c>
      <c r="V818" t="s">
        <v>1759</v>
      </c>
      <c r="W818" t="s">
        <v>1380</v>
      </c>
      <c r="X818" t="s">
        <v>1585</v>
      </c>
      <c r="Y818" t="s">
        <v>1760</v>
      </c>
      <c r="Z818" t="s">
        <v>1761</v>
      </c>
      <c r="AA818" t="s">
        <v>1762</v>
      </c>
      <c r="AB818" t="s">
        <v>1763</v>
      </c>
      <c r="AC818" t="s">
        <v>1764</v>
      </c>
      <c r="AD818" t="s">
        <v>132</v>
      </c>
      <c r="AE818" t="s">
        <v>316</v>
      </c>
      <c r="AF818" t="s">
        <v>100</v>
      </c>
      <c r="AG818" t="s">
        <v>102</v>
      </c>
      <c r="AH818" t="s">
        <v>102</v>
      </c>
      <c r="AI818" t="s">
        <v>134</v>
      </c>
      <c r="AJ818" t="s">
        <v>135</v>
      </c>
      <c r="AM818" t="s">
        <v>136</v>
      </c>
      <c r="AN818" t="s">
        <v>106</v>
      </c>
      <c r="AO818">
        <v>-41.866666666699999</v>
      </c>
      <c r="AP818">
        <v>-73.849999999999994</v>
      </c>
      <c r="AQ818">
        <f t="shared" si="39"/>
        <v>-7.5</v>
      </c>
      <c r="AV818">
        <v>5</v>
      </c>
      <c r="AW818" t="s">
        <v>108</v>
      </c>
      <c r="AX818">
        <v>12</v>
      </c>
      <c r="AY818" t="s">
        <v>103</v>
      </c>
      <c r="AZ818" t="s">
        <v>109</v>
      </c>
      <c r="BA818" t="s">
        <v>1031</v>
      </c>
      <c r="BB818">
        <v>14</v>
      </c>
      <c r="BC818">
        <v>16</v>
      </c>
      <c r="BE818" t="s">
        <v>139</v>
      </c>
      <c r="BF818">
        <v>5</v>
      </c>
      <c r="BG818">
        <v>1</v>
      </c>
      <c r="BN818">
        <v>30</v>
      </c>
      <c r="BR818" t="s">
        <v>449</v>
      </c>
      <c r="BT818" t="s">
        <v>452</v>
      </c>
      <c r="BU818" t="s">
        <v>1765</v>
      </c>
      <c r="BV818">
        <v>24.973890000000001</v>
      </c>
      <c r="BW818" t="s">
        <v>454</v>
      </c>
      <c r="BX818">
        <v>9</v>
      </c>
      <c r="BY818">
        <v>26.40992</v>
      </c>
      <c r="BZ818" t="s">
        <v>454</v>
      </c>
      <c r="CA818">
        <v>9</v>
      </c>
      <c r="CB818" t="s">
        <v>113</v>
      </c>
      <c r="CC818" t="s">
        <v>1754</v>
      </c>
    </row>
    <row r="819" spans="1:81" x14ac:dyDescent="0.25">
      <c r="A819" t="s">
        <v>81</v>
      </c>
      <c r="B819">
        <v>818</v>
      </c>
      <c r="C819">
        <v>148</v>
      </c>
      <c r="D819">
        <v>136</v>
      </c>
      <c r="E819">
        <v>178</v>
      </c>
      <c r="F819">
        <v>191</v>
      </c>
      <c r="G819">
        <v>475</v>
      </c>
      <c r="H819">
        <v>708</v>
      </c>
      <c r="I819" t="s">
        <v>1683</v>
      </c>
      <c r="J819" t="s">
        <v>119</v>
      </c>
      <c r="L819" t="s">
        <v>1755</v>
      </c>
      <c r="M819" t="s">
        <v>85</v>
      </c>
      <c r="O819" t="s">
        <v>14</v>
      </c>
      <c r="P819" t="s">
        <v>1756</v>
      </c>
      <c r="Q819" t="s">
        <v>1757</v>
      </c>
      <c r="R819">
        <v>2018</v>
      </c>
      <c r="S819" t="s">
        <v>716</v>
      </c>
      <c r="U819" t="s">
        <v>1758</v>
      </c>
      <c r="V819" t="s">
        <v>1759</v>
      </c>
      <c r="W819" t="s">
        <v>1380</v>
      </c>
      <c r="X819" t="s">
        <v>1585</v>
      </c>
      <c r="Y819" t="s">
        <v>1760</v>
      </c>
      <c r="Z819" t="s">
        <v>1761</v>
      </c>
      <c r="AA819" t="s">
        <v>1762</v>
      </c>
      <c r="AB819" t="s">
        <v>1763</v>
      </c>
      <c r="AC819" t="s">
        <v>1764</v>
      </c>
      <c r="AD819" t="s">
        <v>132</v>
      </c>
      <c r="AE819" t="s">
        <v>316</v>
      </c>
      <c r="AF819" t="s">
        <v>100</v>
      </c>
      <c r="AG819" t="s">
        <v>102</v>
      </c>
      <c r="AH819" t="s">
        <v>102</v>
      </c>
      <c r="AI819" t="s">
        <v>134</v>
      </c>
      <c r="AJ819" t="s">
        <v>135</v>
      </c>
      <c r="AM819" t="s">
        <v>136</v>
      </c>
      <c r="AN819" t="s">
        <v>106</v>
      </c>
      <c r="AO819">
        <v>-41.866666666699999</v>
      </c>
      <c r="AP819">
        <v>-73.849999999999994</v>
      </c>
      <c r="AQ819">
        <f t="shared" si="39"/>
        <v>-7.5</v>
      </c>
      <c r="AV819">
        <v>5</v>
      </c>
      <c r="AW819" t="s">
        <v>108</v>
      </c>
      <c r="AX819">
        <v>12</v>
      </c>
      <c r="AY819" t="s">
        <v>103</v>
      </c>
      <c r="AZ819" t="s">
        <v>109</v>
      </c>
      <c r="BA819" t="s">
        <v>1031</v>
      </c>
      <c r="BB819">
        <v>16</v>
      </c>
      <c r="BC819">
        <v>18</v>
      </c>
      <c r="BE819" t="s">
        <v>139</v>
      </c>
      <c r="BF819">
        <v>5</v>
      </c>
      <c r="BG819">
        <v>1</v>
      </c>
      <c r="BN819">
        <v>30</v>
      </c>
      <c r="BR819" t="s">
        <v>449</v>
      </c>
      <c r="BT819" t="s">
        <v>452</v>
      </c>
      <c r="BU819" t="s">
        <v>1765</v>
      </c>
      <c r="BV819">
        <v>26.40992</v>
      </c>
      <c r="BW819" t="s">
        <v>454</v>
      </c>
      <c r="BX819">
        <v>9</v>
      </c>
      <c r="BY819">
        <v>28.041779999999999</v>
      </c>
      <c r="BZ819" t="s">
        <v>454</v>
      </c>
      <c r="CA819">
        <v>9</v>
      </c>
      <c r="CB819" t="s">
        <v>113</v>
      </c>
      <c r="CC819" t="s">
        <v>1754</v>
      </c>
    </row>
    <row r="820" spans="1:81" x14ac:dyDescent="0.25">
      <c r="A820" t="s">
        <v>81</v>
      </c>
      <c r="B820">
        <v>819</v>
      </c>
      <c r="C820">
        <v>148</v>
      </c>
      <c r="D820">
        <v>136</v>
      </c>
      <c r="E820">
        <v>178</v>
      </c>
      <c r="F820">
        <v>191</v>
      </c>
      <c r="G820">
        <v>476</v>
      </c>
      <c r="H820">
        <v>709</v>
      </c>
      <c r="I820" t="s">
        <v>1683</v>
      </c>
      <c r="J820" t="s">
        <v>972</v>
      </c>
      <c r="L820" t="s">
        <v>1768</v>
      </c>
      <c r="M820" t="s">
        <v>85</v>
      </c>
      <c r="O820" t="s">
        <v>14</v>
      </c>
      <c r="P820" t="s">
        <v>1756</v>
      </c>
      <c r="Q820" t="s">
        <v>1757</v>
      </c>
      <c r="R820">
        <v>2018</v>
      </c>
      <c r="S820" t="s">
        <v>716</v>
      </c>
      <c r="U820" t="s">
        <v>1758</v>
      </c>
      <c r="V820" t="s">
        <v>1759</v>
      </c>
      <c r="W820" t="s">
        <v>1380</v>
      </c>
      <c r="X820" t="s">
        <v>1585</v>
      </c>
      <c r="Y820" t="s">
        <v>1760</v>
      </c>
      <c r="Z820" t="s">
        <v>1761</v>
      </c>
      <c r="AA820" t="s">
        <v>1762</v>
      </c>
      <c r="AB820" t="s">
        <v>1763</v>
      </c>
      <c r="AC820" t="s">
        <v>1764</v>
      </c>
      <c r="AD820" t="s">
        <v>132</v>
      </c>
      <c r="AE820" t="s">
        <v>316</v>
      </c>
      <c r="AF820" t="s">
        <v>100</v>
      </c>
      <c r="AG820" t="s">
        <v>102</v>
      </c>
      <c r="AH820" t="s">
        <v>102</v>
      </c>
      <c r="AI820" t="s">
        <v>134</v>
      </c>
      <c r="AJ820" t="s">
        <v>135</v>
      </c>
      <c r="AM820" t="s">
        <v>136</v>
      </c>
      <c r="AN820" t="s">
        <v>106</v>
      </c>
      <c r="AO820">
        <v>-41.866666666699999</v>
      </c>
      <c r="AP820">
        <v>-73.849999999999994</v>
      </c>
      <c r="AQ820">
        <f t="shared" si="39"/>
        <v>-7.5</v>
      </c>
      <c r="AV820">
        <v>5</v>
      </c>
      <c r="AW820" t="s">
        <v>108</v>
      </c>
      <c r="AX820">
        <v>12</v>
      </c>
      <c r="AY820" t="s">
        <v>103</v>
      </c>
      <c r="AZ820" t="s">
        <v>109</v>
      </c>
      <c r="BA820" t="s">
        <v>1031</v>
      </c>
      <c r="BB820">
        <v>6</v>
      </c>
      <c r="BC820">
        <v>8</v>
      </c>
      <c r="BE820" t="s">
        <v>139</v>
      </c>
      <c r="BF820">
        <v>5</v>
      </c>
      <c r="BG820">
        <v>1</v>
      </c>
      <c r="BN820">
        <v>30</v>
      </c>
      <c r="BR820" t="s">
        <v>69</v>
      </c>
      <c r="BT820" t="s">
        <v>452</v>
      </c>
      <c r="BU820" t="s">
        <v>1769</v>
      </c>
      <c r="BV820">
        <v>24.960730000000002</v>
      </c>
      <c r="BW820" t="s">
        <v>454</v>
      </c>
      <c r="BX820">
        <v>9</v>
      </c>
      <c r="BY820">
        <v>22.015709999999999</v>
      </c>
      <c r="BZ820" t="s">
        <v>454</v>
      </c>
      <c r="CA820">
        <v>9</v>
      </c>
      <c r="CB820" t="s">
        <v>113</v>
      </c>
      <c r="CC820" t="s">
        <v>1754</v>
      </c>
    </row>
    <row r="821" spans="1:81" x14ac:dyDescent="0.25">
      <c r="A821" t="s">
        <v>81</v>
      </c>
      <c r="B821">
        <v>820</v>
      </c>
      <c r="C821">
        <v>148</v>
      </c>
      <c r="D821">
        <v>136</v>
      </c>
      <c r="E821">
        <v>178</v>
      </c>
      <c r="F821">
        <v>191</v>
      </c>
      <c r="G821">
        <v>476</v>
      </c>
      <c r="H821">
        <v>710</v>
      </c>
      <c r="I821" t="s">
        <v>1683</v>
      </c>
      <c r="J821" t="s">
        <v>972</v>
      </c>
      <c r="L821" t="s">
        <v>1768</v>
      </c>
      <c r="M821" t="s">
        <v>85</v>
      </c>
      <c r="O821" t="s">
        <v>14</v>
      </c>
      <c r="P821" t="s">
        <v>1756</v>
      </c>
      <c r="Q821" t="s">
        <v>1757</v>
      </c>
      <c r="R821">
        <v>2018</v>
      </c>
      <c r="S821" t="s">
        <v>716</v>
      </c>
      <c r="U821" t="s">
        <v>1758</v>
      </c>
      <c r="V821" t="s">
        <v>1759</v>
      </c>
      <c r="W821" t="s">
        <v>1380</v>
      </c>
      <c r="X821" t="s">
        <v>1585</v>
      </c>
      <c r="Y821" t="s">
        <v>1760</v>
      </c>
      <c r="Z821" t="s">
        <v>1761</v>
      </c>
      <c r="AA821" t="s">
        <v>1762</v>
      </c>
      <c r="AB821" t="s">
        <v>1763</v>
      </c>
      <c r="AC821" t="s">
        <v>1764</v>
      </c>
      <c r="AD821" t="s">
        <v>132</v>
      </c>
      <c r="AE821" t="s">
        <v>316</v>
      </c>
      <c r="AF821" t="s">
        <v>100</v>
      </c>
      <c r="AG821" t="s">
        <v>102</v>
      </c>
      <c r="AH821" t="s">
        <v>102</v>
      </c>
      <c r="AI821" t="s">
        <v>134</v>
      </c>
      <c r="AJ821" t="s">
        <v>135</v>
      </c>
      <c r="AM821" t="s">
        <v>136</v>
      </c>
      <c r="AN821" t="s">
        <v>106</v>
      </c>
      <c r="AO821">
        <v>-41.866666666699999</v>
      </c>
      <c r="AP821">
        <v>-73.849999999999994</v>
      </c>
      <c r="AQ821">
        <f t="shared" si="39"/>
        <v>-7.5</v>
      </c>
      <c r="AV821">
        <v>5</v>
      </c>
      <c r="AW821" t="s">
        <v>108</v>
      </c>
      <c r="AX821">
        <v>12</v>
      </c>
      <c r="AY821" t="s">
        <v>103</v>
      </c>
      <c r="AZ821" t="s">
        <v>109</v>
      </c>
      <c r="BA821" t="s">
        <v>1031</v>
      </c>
      <c r="BB821">
        <v>8</v>
      </c>
      <c r="BC821">
        <v>10</v>
      </c>
      <c r="BE821" t="s">
        <v>139</v>
      </c>
      <c r="BF821">
        <v>5</v>
      </c>
      <c r="BG821">
        <v>1</v>
      </c>
      <c r="BN821">
        <v>30</v>
      </c>
      <c r="BR821" t="s">
        <v>69</v>
      </c>
      <c r="BT821" t="s">
        <v>452</v>
      </c>
      <c r="BU821" t="s">
        <v>1769</v>
      </c>
      <c r="BV821">
        <v>22.015709999999999</v>
      </c>
      <c r="BW821" t="s">
        <v>454</v>
      </c>
      <c r="BX821">
        <v>9</v>
      </c>
      <c r="BY821">
        <v>23.128270000000001</v>
      </c>
      <c r="BZ821" t="s">
        <v>454</v>
      </c>
      <c r="CA821">
        <v>9</v>
      </c>
      <c r="CB821" t="s">
        <v>113</v>
      </c>
      <c r="CC821" t="s">
        <v>1754</v>
      </c>
    </row>
    <row r="822" spans="1:81" x14ac:dyDescent="0.25">
      <c r="A822" t="s">
        <v>81</v>
      </c>
      <c r="B822">
        <v>821</v>
      </c>
      <c r="C822">
        <v>148</v>
      </c>
      <c r="D822">
        <v>136</v>
      </c>
      <c r="E822">
        <v>178</v>
      </c>
      <c r="F822">
        <v>191</v>
      </c>
      <c r="G822">
        <v>476</v>
      </c>
      <c r="H822">
        <v>711</v>
      </c>
      <c r="I822" t="s">
        <v>1683</v>
      </c>
      <c r="J822" t="s">
        <v>972</v>
      </c>
      <c r="L822" t="s">
        <v>1768</v>
      </c>
      <c r="M822" t="s">
        <v>85</v>
      </c>
      <c r="O822" t="s">
        <v>14</v>
      </c>
      <c r="P822" t="s">
        <v>1756</v>
      </c>
      <c r="Q822" t="s">
        <v>1757</v>
      </c>
      <c r="R822">
        <v>2018</v>
      </c>
      <c r="S822" t="s">
        <v>716</v>
      </c>
      <c r="U822" t="s">
        <v>1758</v>
      </c>
      <c r="V822" t="s">
        <v>1759</v>
      </c>
      <c r="W822" t="s">
        <v>1380</v>
      </c>
      <c r="X822" t="s">
        <v>1585</v>
      </c>
      <c r="Y822" t="s">
        <v>1760</v>
      </c>
      <c r="Z822" t="s">
        <v>1761</v>
      </c>
      <c r="AA822" t="s">
        <v>1762</v>
      </c>
      <c r="AB822" t="s">
        <v>1763</v>
      </c>
      <c r="AC822" t="s">
        <v>1764</v>
      </c>
      <c r="AD822" t="s">
        <v>132</v>
      </c>
      <c r="AE822" t="s">
        <v>316</v>
      </c>
      <c r="AF822" t="s">
        <v>100</v>
      </c>
      <c r="AG822" t="s">
        <v>102</v>
      </c>
      <c r="AH822" t="s">
        <v>102</v>
      </c>
      <c r="AI822" t="s">
        <v>134</v>
      </c>
      <c r="AJ822" t="s">
        <v>135</v>
      </c>
      <c r="AM822" t="s">
        <v>136</v>
      </c>
      <c r="AN822" t="s">
        <v>106</v>
      </c>
      <c r="AO822">
        <v>-41.866666666699999</v>
      </c>
      <c r="AP822">
        <v>-73.849999999999994</v>
      </c>
      <c r="AQ822">
        <f t="shared" si="39"/>
        <v>-7.5</v>
      </c>
      <c r="AV822">
        <v>5</v>
      </c>
      <c r="AW822" t="s">
        <v>108</v>
      </c>
      <c r="AX822">
        <v>12</v>
      </c>
      <c r="AY822" t="s">
        <v>134</v>
      </c>
      <c r="AZ822" t="s">
        <v>109</v>
      </c>
      <c r="BA822" t="s">
        <v>1031</v>
      </c>
      <c r="BB822">
        <v>10</v>
      </c>
      <c r="BC822">
        <v>12</v>
      </c>
      <c r="BE822" t="s">
        <v>139</v>
      </c>
      <c r="BF822">
        <v>5</v>
      </c>
      <c r="BG822">
        <v>1</v>
      </c>
      <c r="BN822">
        <v>30</v>
      </c>
      <c r="BR822" t="s">
        <v>69</v>
      </c>
      <c r="BS822" t="s">
        <v>1766</v>
      </c>
      <c r="BT822" t="s">
        <v>452</v>
      </c>
      <c r="BU822" t="s">
        <v>1770</v>
      </c>
      <c r="BV822">
        <v>23.128270000000001</v>
      </c>
      <c r="BW822" t="s">
        <v>454</v>
      </c>
      <c r="BX822">
        <v>9</v>
      </c>
      <c r="BY822">
        <v>24.633510000000001</v>
      </c>
      <c r="BZ822" t="s">
        <v>454</v>
      </c>
      <c r="CA822">
        <v>9</v>
      </c>
      <c r="CB822" t="s">
        <v>113</v>
      </c>
      <c r="CC822" t="s">
        <v>1754</v>
      </c>
    </row>
    <row r="823" spans="1:81" x14ac:dyDescent="0.25">
      <c r="A823" t="s">
        <v>81</v>
      </c>
      <c r="B823">
        <v>822</v>
      </c>
      <c r="C823">
        <v>148</v>
      </c>
      <c r="D823">
        <v>136</v>
      </c>
      <c r="E823">
        <v>178</v>
      </c>
      <c r="F823">
        <v>191</v>
      </c>
      <c r="G823">
        <v>476</v>
      </c>
      <c r="H823">
        <v>712</v>
      </c>
      <c r="I823" t="s">
        <v>1683</v>
      </c>
      <c r="J823" t="s">
        <v>972</v>
      </c>
      <c r="L823" t="s">
        <v>1768</v>
      </c>
      <c r="M823" t="s">
        <v>85</v>
      </c>
      <c r="O823" t="s">
        <v>14</v>
      </c>
      <c r="P823" t="s">
        <v>1756</v>
      </c>
      <c r="Q823" t="s">
        <v>1757</v>
      </c>
      <c r="R823">
        <v>2018</v>
      </c>
      <c r="S823" t="s">
        <v>716</v>
      </c>
      <c r="U823" t="s">
        <v>1758</v>
      </c>
      <c r="V823" t="s">
        <v>1759</v>
      </c>
      <c r="W823" t="s">
        <v>1380</v>
      </c>
      <c r="X823" t="s">
        <v>1585</v>
      </c>
      <c r="Y823" t="s">
        <v>1760</v>
      </c>
      <c r="Z823" t="s">
        <v>1761</v>
      </c>
      <c r="AA823" t="s">
        <v>1762</v>
      </c>
      <c r="AB823" t="s">
        <v>1763</v>
      </c>
      <c r="AC823" t="s">
        <v>1764</v>
      </c>
      <c r="AD823" t="s">
        <v>132</v>
      </c>
      <c r="AE823" t="s">
        <v>316</v>
      </c>
      <c r="AF823" t="s">
        <v>100</v>
      </c>
      <c r="AG823" t="s">
        <v>102</v>
      </c>
      <c r="AH823" t="s">
        <v>102</v>
      </c>
      <c r="AI823" t="s">
        <v>134</v>
      </c>
      <c r="AJ823" t="s">
        <v>135</v>
      </c>
      <c r="AM823" t="s">
        <v>136</v>
      </c>
      <c r="AN823" t="s">
        <v>106</v>
      </c>
      <c r="AO823">
        <v>-41.866666666699999</v>
      </c>
      <c r="AP823">
        <v>-73.849999999999994</v>
      </c>
      <c r="AQ823">
        <f t="shared" si="39"/>
        <v>-7.5</v>
      </c>
      <c r="AV823">
        <v>5</v>
      </c>
      <c r="AW823" t="s">
        <v>108</v>
      </c>
      <c r="AX823">
        <v>12</v>
      </c>
      <c r="AY823" t="s">
        <v>134</v>
      </c>
      <c r="AZ823" t="s">
        <v>109</v>
      </c>
      <c r="BA823" t="s">
        <v>1031</v>
      </c>
      <c r="BB823">
        <v>12</v>
      </c>
      <c r="BC823">
        <v>14</v>
      </c>
      <c r="BE823" t="s">
        <v>139</v>
      </c>
      <c r="BF823">
        <v>5</v>
      </c>
      <c r="BG823">
        <v>1</v>
      </c>
      <c r="BN823">
        <v>30</v>
      </c>
      <c r="BR823" t="s">
        <v>69</v>
      </c>
      <c r="BS823" t="s">
        <v>1766</v>
      </c>
      <c r="BT823" t="s">
        <v>452</v>
      </c>
      <c r="BU823" t="s">
        <v>1770</v>
      </c>
      <c r="BV823">
        <v>24.633510000000001</v>
      </c>
      <c r="BW823" t="s">
        <v>454</v>
      </c>
      <c r="BX823">
        <v>9</v>
      </c>
      <c r="BY823">
        <v>23.913609999999998</v>
      </c>
      <c r="BZ823" t="s">
        <v>454</v>
      </c>
      <c r="CA823">
        <v>9</v>
      </c>
      <c r="CB823" t="s">
        <v>113</v>
      </c>
      <c r="CC823" t="s">
        <v>1754</v>
      </c>
    </row>
    <row r="824" spans="1:81" x14ac:dyDescent="0.25">
      <c r="A824" t="s">
        <v>81</v>
      </c>
      <c r="B824">
        <v>823</v>
      </c>
      <c r="C824">
        <v>148</v>
      </c>
      <c r="D824">
        <v>136</v>
      </c>
      <c r="E824">
        <v>178</v>
      </c>
      <c r="F824">
        <v>191</v>
      </c>
      <c r="G824">
        <v>476</v>
      </c>
      <c r="H824">
        <v>713</v>
      </c>
      <c r="I824" t="s">
        <v>1683</v>
      </c>
      <c r="J824" t="s">
        <v>972</v>
      </c>
      <c r="L824" t="s">
        <v>1768</v>
      </c>
      <c r="M824" t="s">
        <v>85</v>
      </c>
      <c r="O824" t="s">
        <v>14</v>
      </c>
      <c r="P824" t="s">
        <v>1756</v>
      </c>
      <c r="Q824" t="s">
        <v>1757</v>
      </c>
      <c r="R824">
        <v>2018</v>
      </c>
      <c r="S824" t="s">
        <v>716</v>
      </c>
      <c r="U824" t="s">
        <v>1758</v>
      </c>
      <c r="V824" t="s">
        <v>1759</v>
      </c>
      <c r="W824" t="s">
        <v>1380</v>
      </c>
      <c r="X824" t="s">
        <v>1585</v>
      </c>
      <c r="Y824" t="s">
        <v>1760</v>
      </c>
      <c r="Z824" t="s">
        <v>1761</v>
      </c>
      <c r="AA824" t="s">
        <v>1762</v>
      </c>
      <c r="AB824" t="s">
        <v>1763</v>
      </c>
      <c r="AC824" t="s">
        <v>1764</v>
      </c>
      <c r="AD824" t="s">
        <v>132</v>
      </c>
      <c r="AE824" t="s">
        <v>316</v>
      </c>
      <c r="AF824" t="s">
        <v>100</v>
      </c>
      <c r="AG824" t="s">
        <v>102</v>
      </c>
      <c r="AH824" t="s">
        <v>102</v>
      </c>
      <c r="AI824" t="s">
        <v>134</v>
      </c>
      <c r="AJ824" t="s">
        <v>135</v>
      </c>
      <c r="AM824" t="s">
        <v>136</v>
      </c>
      <c r="AN824" t="s">
        <v>106</v>
      </c>
      <c r="AO824">
        <v>-41.866666666699999</v>
      </c>
      <c r="AP824">
        <v>-73.849999999999994</v>
      </c>
      <c r="AQ824">
        <f t="shared" si="39"/>
        <v>-7.5</v>
      </c>
      <c r="AV824">
        <v>5</v>
      </c>
      <c r="AW824" t="s">
        <v>108</v>
      </c>
      <c r="AX824">
        <v>12</v>
      </c>
      <c r="AY824" t="s">
        <v>103</v>
      </c>
      <c r="AZ824" t="s">
        <v>109</v>
      </c>
      <c r="BA824" t="s">
        <v>1031</v>
      </c>
      <c r="BB824">
        <v>14</v>
      </c>
      <c r="BC824">
        <v>16</v>
      </c>
      <c r="BE824" t="s">
        <v>139</v>
      </c>
      <c r="BF824">
        <v>5</v>
      </c>
      <c r="BG824">
        <v>1</v>
      </c>
      <c r="BN824">
        <v>30</v>
      </c>
      <c r="BR824" t="s">
        <v>69</v>
      </c>
      <c r="BT824" t="s">
        <v>452</v>
      </c>
      <c r="BU824" t="s">
        <v>1769</v>
      </c>
      <c r="BV824">
        <v>23.913609999999998</v>
      </c>
      <c r="BW824" t="s">
        <v>454</v>
      </c>
      <c r="BX824">
        <v>9</v>
      </c>
      <c r="BY824">
        <v>25.680630000000001</v>
      </c>
      <c r="BZ824" t="s">
        <v>454</v>
      </c>
      <c r="CA824">
        <v>9</v>
      </c>
      <c r="CB824" t="s">
        <v>113</v>
      </c>
      <c r="CC824" t="s">
        <v>1754</v>
      </c>
    </row>
    <row r="825" spans="1:81" x14ac:dyDescent="0.25">
      <c r="A825" t="s">
        <v>81</v>
      </c>
      <c r="B825">
        <v>824</v>
      </c>
      <c r="C825">
        <v>148</v>
      </c>
      <c r="D825">
        <v>136</v>
      </c>
      <c r="E825">
        <v>178</v>
      </c>
      <c r="F825">
        <v>191</v>
      </c>
      <c r="G825">
        <v>476</v>
      </c>
      <c r="H825">
        <v>714</v>
      </c>
      <c r="I825" t="s">
        <v>1683</v>
      </c>
      <c r="J825" t="s">
        <v>972</v>
      </c>
      <c r="L825" t="s">
        <v>1768</v>
      </c>
      <c r="M825" t="s">
        <v>85</v>
      </c>
      <c r="O825" t="s">
        <v>14</v>
      </c>
      <c r="P825" t="s">
        <v>1756</v>
      </c>
      <c r="Q825" t="s">
        <v>1757</v>
      </c>
      <c r="R825">
        <v>2018</v>
      </c>
      <c r="S825" t="s">
        <v>716</v>
      </c>
      <c r="U825" t="s">
        <v>1758</v>
      </c>
      <c r="V825" t="s">
        <v>1759</v>
      </c>
      <c r="W825" t="s">
        <v>1380</v>
      </c>
      <c r="X825" t="s">
        <v>1585</v>
      </c>
      <c r="Y825" t="s">
        <v>1760</v>
      </c>
      <c r="Z825" t="s">
        <v>1761</v>
      </c>
      <c r="AA825" t="s">
        <v>1762</v>
      </c>
      <c r="AB825" t="s">
        <v>1763</v>
      </c>
      <c r="AC825" t="s">
        <v>1764</v>
      </c>
      <c r="AD825" t="s">
        <v>132</v>
      </c>
      <c r="AE825" t="s">
        <v>316</v>
      </c>
      <c r="AF825" t="s">
        <v>100</v>
      </c>
      <c r="AG825" t="s">
        <v>102</v>
      </c>
      <c r="AH825" t="s">
        <v>102</v>
      </c>
      <c r="AI825" t="s">
        <v>134</v>
      </c>
      <c r="AJ825" t="s">
        <v>135</v>
      </c>
      <c r="AM825" t="s">
        <v>136</v>
      </c>
      <c r="AN825" t="s">
        <v>106</v>
      </c>
      <c r="AO825">
        <v>-41.866666666699999</v>
      </c>
      <c r="AP825">
        <v>-73.849999999999994</v>
      </c>
      <c r="AQ825">
        <f t="shared" si="39"/>
        <v>-7.5</v>
      </c>
      <c r="AV825">
        <v>5</v>
      </c>
      <c r="AW825" t="s">
        <v>108</v>
      </c>
      <c r="AX825">
        <v>12</v>
      </c>
      <c r="AY825" t="s">
        <v>103</v>
      </c>
      <c r="AZ825" t="s">
        <v>109</v>
      </c>
      <c r="BA825" t="s">
        <v>1031</v>
      </c>
      <c r="BB825">
        <v>16</v>
      </c>
      <c r="BC825">
        <v>18</v>
      </c>
      <c r="BE825" t="s">
        <v>139</v>
      </c>
      <c r="BF825">
        <v>5</v>
      </c>
      <c r="BG825">
        <v>1</v>
      </c>
      <c r="BN825">
        <v>30</v>
      </c>
      <c r="BR825" t="s">
        <v>69</v>
      </c>
      <c r="BT825" t="s">
        <v>452</v>
      </c>
      <c r="BU825" t="s">
        <v>1769</v>
      </c>
      <c r="BV825">
        <v>25.680630000000001</v>
      </c>
      <c r="BW825" t="s">
        <v>454</v>
      </c>
      <c r="BX825">
        <v>9</v>
      </c>
      <c r="BY825">
        <v>27.25131</v>
      </c>
      <c r="BZ825" t="s">
        <v>454</v>
      </c>
      <c r="CA825">
        <v>9</v>
      </c>
      <c r="CB825" t="s">
        <v>113</v>
      </c>
      <c r="CC825" t="s">
        <v>1754</v>
      </c>
    </row>
    <row r="826" spans="1:81" x14ac:dyDescent="0.25">
      <c r="A826" t="s">
        <v>81</v>
      </c>
      <c r="B826">
        <v>825</v>
      </c>
      <c r="C826">
        <v>148</v>
      </c>
      <c r="D826">
        <v>136</v>
      </c>
      <c r="E826">
        <v>178</v>
      </c>
      <c r="F826">
        <v>191</v>
      </c>
      <c r="G826">
        <v>477</v>
      </c>
      <c r="H826">
        <v>715</v>
      </c>
      <c r="I826" t="s">
        <v>1683</v>
      </c>
      <c r="J826" t="s">
        <v>931</v>
      </c>
      <c r="L826" t="s">
        <v>1771</v>
      </c>
      <c r="M826" t="s">
        <v>85</v>
      </c>
      <c r="O826" t="s">
        <v>14</v>
      </c>
      <c r="P826" t="s">
        <v>1756</v>
      </c>
      <c r="Q826" t="s">
        <v>1757</v>
      </c>
      <c r="R826">
        <v>2018</v>
      </c>
      <c r="S826" t="s">
        <v>716</v>
      </c>
      <c r="U826" t="s">
        <v>1758</v>
      </c>
      <c r="V826" t="s">
        <v>1759</v>
      </c>
      <c r="W826" t="s">
        <v>1380</v>
      </c>
      <c r="X826" t="s">
        <v>1585</v>
      </c>
      <c r="Y826" t="s">
        <v>1760</v>
      </c>
      <c r="Z826" t="s">
        <v>1761</v>
      </c>
      <c r="AA826" t="s">
        <v>1762</v>
      </c>
      <c r="AB826" t="s">
        <v>1763</v>
      </c>
      <c r="AC826" t="s">
        <v>1764</v>
      </c>
      <c r="AD826" t="s">
        <v>132</v>
      </c>
      <c r="AE826" t="s">
        <v>316</v>
      </c>
      <c r="AF826" t="s">
        <v>100</v>
      </c>
      <c r="AG826" t="s">
        <v>102</v>
      </c>
      <c r="AH826" t="s">
        <v>102</v>
      </c>
      <c r="AI826" t="s">
        <v>134</v>
      </c>
      <c r="AJ826" t="s">
        <v>135</v>
      </c>
      <c r="AM826" t="s">
        <v>136</v>
      </c>
      <c r="AN826" t="s">
        <v>106</v>
      </c>
      <c r="AO826">
        <v>-41.866666666699999</v>
      </c>
      <c r="AP826">
        <v>-73.849999999999994</v>
      </c>
      <c r="AQ826">
        <f t="shared" si="39"/>
        <v>-7.5</v>
      </c>
      <c r="AV826">
        <v>5</v>
      </c>
      <c r="AW826" t="s">
        <v>108</v>
      </c>
      <c r="AX826">
        <v>12</v>
      </c>
      <c r="AY826" t="s">
        <v>103</v>
      </c>
      <c r="AZ826" t="s">
        <v>109</v>
      </c>
      <c r="BA826" t="s">
        <v>1031</v>
      </c>
      <c r="BB826">
        <v>6</v>
      </c>
      <c r="BC826">
        <v>8</v>
      </c>
      <c r="BE826" t="s">
        <v>139</v>
      </c>
      <c r="BF826">
        <v>5</v>
      </c>
      <c r="BG826">
        <v>1</v>
      </c>
      <c r="BN826">
        <v>30</v>
      </c>
      <c r="BR826" t="s">
        <v>449</v>
      </c>
      <c r="BT826" t="s">
        <v>452</v>
      </c>
      <c r="BU826" t="s">
        <v>1772</v>
      </c>
      <c r="BV826">
        <v>24.386420000000001</v>
      </c>
      <c r="BW826" t="s">
        <v>454</v>
      </c>
      <c r="BX826">
        <v>9</v>
      </c>
      <c r="BY826">
        <v>22.232379999999999</v>
      </c>
      <c r="BZ826" t="s">
        <v>454</v>
      </c>
      <c r="CA826">
        <v>9</v>
      </c>
      <c r="CB826" t="s">
        <v>113</v>
      </c>
      <c r="CC826" t="s">
        <v>1754</v>
      </c>
    </row>
    <row r="827" spans="1:81" x14ac:dyDescent="0.25">
      <c r="A827" t="s">
        <v>81</v>
      </c>
      <c r="B827">
        <v>826</v>
      </c>
      <c r="C827">
        <v>148</v>
      </c>
      <c r="D827">
        <v>136</v>
      </c>
      <c r="E827">
        <v>178</v>
      </c>
      <c r="F827">
        <v>191</v>
      </c>
      <c r="G827">
        <v>477</v>
      </c>
      <c r="H827">
        <v>716</v>
      </c>
      <c r="I827" t="s">
        <v>1683</v>
      </c>
      <c r="J827" t="s">
        <v>931</v>
      </c>
      <c r="L827" t="s">
        <v>1771</v>
      </c>
      <c r="M827" t="s">
        <v>85</v>
      </c>
      <c r="O827" t="s">
        <v>14</v>
      </c>
      <c r="P827" t="s">
        <v>1756</v>
      </c>
      <c r="Q827" t="s">
        <v>1757</v>
      </c>
      <c r="R827">
        <v>2018</v>
      </c>
      <c r="S827" t="s">
        <v>716</v>
      </c>
      <c r="U827" t="s">
        <v>1758</v>
      </c>
      <c r="V827" t="s">
        <v>1759</v>
      </c>
      <c r="W827" t="s">
        <v>1380</v>
      </c>
      <c r="X827" t="s">
        <v>1585</v>
      </c>
      <c r="Y827" t="s">
        <v>1760</v>
      </c>
      <c r="Z827" t="s">
        <v>1761</v>
      </c>
      <c r="AA827" t="s">
        <v>1762</v>
      </c>
      <c r="AB827" t="s">
        <v>1763</v>
      </c>
      <c r="AC827" t="s">
        <v>1764</v>
      </c>
      <c r="AD827" t="s">
        <v>132</v>
      </c>
      <c r="AE827" t="s">
        <v>316</v>
      </c>
      <c r="AF827" t="s">
        <v>100</v>
      </c>
      <c r="AG827" t="s">
        <v>102</v>
      </c>
      <c r="AH827" t="s">
        <v>102</v>
      </c>
      <c r="AI827" t="s">
        <v>134</v>
      </c>
      <c r="AJ827" t="s">
        <v>135</v>
      </c>
      <c r="AM827" t="s">
        <v>136</v>
      </c>
      <c r="AN827" t="s">
        <v>106</v>
      </c>
      <c r="AO827">
        <v>-41.866666666699999</v>
      </c>
      <c r="AP827">
        <v>-73.849999999999994</v>
      </c>
      <c r="AQ827">
        <f t="shared" si="39"/>
        <v>-7.5</v>
      </c>
      <c r="AV827">
        <v>5</v>
      </c>
      <c r="AW827" t="s">
        <v>108</v>
      </c>
      <c r="AX827">
        <v>12</v>
      </c>
      <c r="AY827" t="s">
        <v>103</v>
      </c>
      <c r="AZ827" t="s">
        <v>109</v>
      </c>
      <c r="BA827" t="s">
        <v>1031</v>
      </c>
      <c r="BB827">
        <v>8</v>
      </c>
      <c r="BC827">
        <v>10</v>
      </c>
      <c r="BE827" t="s">
        <v>139</v>
      </c>
      <c r="BF827">
        <v>5</v>
      </c>
      <c r="BG827">
        <v>1</v>
      </c>
      <c r="BN827">
        <v>30</v>
      </c>
      <c r="BR827" t="s">
        <v>449</v>
      </c>
      <c r="BT827" t="s">
        <v>452</v>
      </c>
      <c r="BU827" t="s">
        <v>1772</v>
      </c>
      <c r="BV827">
        <v>22.232379999999999</v>
      </c>
      <c r="BW827" t="s">
        <v>454</v>
      </c>
      <c r="BX827">
        <v>9</v>
      </c>
      <c r="BY827">
        <v>24.516970000000001</v>
      </c>
      <c r="BZ827" t="s">
        <v>454</v>
      </c>
      <c r="CA827">
        <v>9</v>
      </c>
      <c r="CB827" t="s">
        <v>113</v>
      </c>
      <c r="CC827" t="s">
        <v>1754</v>
      </c>
    </row>
    <row r="828" spans="1:81" x14ac:dyDescent="0.25">
      <c r="A828" t="s">
        <v>81</v>
      </c>
      <c r="B828">
        <v>827</v>
      </c>
      <c r="C828">
        <v>148</v>
      </c>
      <c r="D828">
        <v>136</v>
      </c>
      <c r="E828">
        <v>178</v>
      </c>
      <c r="F828">
        <v>191</v>
      </c>
      <c r="G828">
        <v>477</v>
      </c>
      <c r="H828">
        <v>717</v>
      </c>
      <c r="I828" t="s">
        <v>1683</v>
      </c>
      <c r="J828" t="s">
        <v>931</v>
      </c>
      <c r="L828" t="s">
        <v>1771</v>
      </c>
      <c r="M828" t="s">
        <v>85</v>
      </c>
      <c r="O828" t="s">
        <v>14</v>
      </c>
      <c r="P828" t="s">
        <v>1756</v>
      </c>
      <c r="Q828" t="s">
        <v>1757</v>
      </c>
      <c r="R828">
        <v>2018</v>
      </c>
      <c r="S828" t="s">
        <v>716</v>
      </c>
      <c r="U828" t="s">
        <v>1758</v>
      </c>
      <c r="V828" t="s">
        <v>1759</v>
      </c>
      <c r="W828" t="s">
        <v>1380</v>
      </c>
      <c r="X828" t="s">
        <v>1585</v>
      </c>
      <c r="Y828" t="s">
        <v>1760</v>
      </c>
      <c r="Z828" t="s">
        <v>1761</v>
      </c>
      <c r="AA828" t="s">
        <v>1762</v>
      </c>
      <c r="AB828" t="s">
        <v>1763</v>
      </c>
      <c r="AC828" t="s">
        <v>1764</v>
      </c>
      <c r="AD828" t="s">
        <v>132</v>
      </c>
      <c r="AE828" t="s">
        <v>316</v>
      </c>
      <c r="AF828" t="s">
        <v>100</v>
      </c>
      <c r="AG828" t="s">
        <v>102</v>
      </c>
      <c r="AH828" t="s">
        <v>102</v>
      </c>
      <c r="AI828" t="s">
        <v>134</v>
      </c>
      <c r="AJ828" t="s">
        <v>135</v>
      </c>
      <c r="AM828" t="s">
        <v>136</v>
      </c>
      <c r="AN828" t="s">
        <v>106</v>
      </c>
      <c r="AO828">
        <v>-41.866666666699999</v>
      </c>
      <c r="AP828">
        <v>-73.849999999999994</v>
      </c>
      <c r="AQ828">
        <f t="shared" si="39"/>
        <v>-7.5</v>
      </c>
      <c r="AV828">
        <v>5</v>
      </c>
      <c r="AW828" t="s">
        <v>108</v>
      </c>
      <c r="AX828">
        <v>12</v>
      </c>
      <c r="AY828" t="s">
        <v>134</v>
      </c>
      <c r="AZ828" t="s">
        <v>109</v>
      </c>
      <c r="BA828" t="s">
        <v>1031</v>
      </c>
      <c r="BB828">
        <v>10</v>
      </c>
      <c r="BC828">
        <v>12</v>
      </c>
      <c r="BE828" t="s">
        <v>139</v>
      </c>
      <c r="BF828">
        <v>5</v>
      </c>
      <c r="BG828">
        <v>1</v>
      </c>
      <c r="BN828">
        <v>30</v>
      </c>
      <c r="BR828" t="s">
        <v>449</v>
      </c>
      <c r="BS828" t="s">
        <v>1766</v>
      </c>
      <c r="BT828" t="s">
        <v>452</v>
      </c>
      <c r="BU828" t="s">
        <v>1773</v>
      </c>
      <c r="BV828">
        <v>24.516970000000001</v>
      </c>
      <c r="BW828" t="s">
        <v>454</v>
      </c>
      <c r="BX828">
        <v>9</v>
      </c>
      <c r="BY828">
        <v>25.626629999999999</v>
      </c>
      <c r="BZ828" t="s">
        <v>454</v>
      </c>
      <c r="CA828">
        <v>9</v>
      </c>
      <c r="CB828" t="s">
        <v>113</v>
      </c>
      <c r="CC828" t="s">
        <v>1754</v>
      </c>
    </row>
    <row r="829" spans="1:81" x14ac:dyDescent="0.25">
      <c r="A829" t="s">
        <v>81</v>
      </c>
      <c r="B829">
        <v>828</v>
      </c>
      <c r="C829">
        <v>148</v>
      </c>
      <c r="D829">
        <v>136</v>
      </c>
      <c r="E829">
        <v>178</v>
      </c>
      <c r="F829">
        <v>191</v>
      </c>
      <c r="G829">
        <v>477</v>
      </c>
      <c r="H829">
        <v>718</v>
      </c>
      <c r="I829" t="s">
        <v>1683</v>
      </c>
      <c r="J829" t="s">
        <v>931</v>
      </c>
      <c r="L829" t="s">
        <v>1771</v>
      </c>
      <c r="M829" t="s">
        <v>85</v>
      </c>
      <c r="O829" t="s">
        <v>14</v>
      </c>
      <c r="P829" t="s">
        <v>1756</v>
      </c>
      <c r="Q829" t="s">
        <v>1757</v>
      </c>
      <c r="R829">
        <v>2018</v>
      </c>
      <c r="S829" t="s">
        <v>716</v>
      </c>
      <c r="U829" t="s">
        <v>1758</v>
      </c>
      <c r="V829" t="s">
        <v>1759</v>
      </c>
      <c r="W829" t="s">
        <v>1380</v>
      </c>
      <c r="X829" t="s">
        <v>1585</v>
      </c>
      <c r="Y829" t="s">
        <v>1760</v>
      </c>
      <c r="Z829" t="s">
        <v>1761</v>
      </c>
      <c r="AA829" t="s">
        <v>1762</v>
      </c>
      <c r="AB829" t="s">
        <v>1763</v>
      </c>
      <c r="AC829" t="s">
        <v>1764</v>
      </c>
      <c r="AD829" t="s">
        <v>132</v>
      </c>
      <c r="AE829" t="s">
        <v>316</v>
      </c>
      <c r="AF829" t="s">
        <v>100</v>
      </c>
      <c r="AG829" t="s">
        <v>102</v>
      </c>
      <c r="AH829" t="s">
        <v>102</v>
      </c>
      <c r="AI829" t="s">
        <v>134</v>
      </c>
      <c r="AJ829" t="s">
        <v>135</v>
      </c>
      <c r="AM829" t="s">
        <v>136</v>
      </c>
      <c r="AN829" t="s">
        <v>106</v>
      </c>
      <c r="AO829">
        <v>-41.866666666699999</v>
      </c>
      <c r="AP829">
        <v>-73.849999999999994</v>
      </c>
      <c r="AQ829">
        <f t="shared" si="39"/>
        <v>-7.5</v>
      </c>
      <c r="AV829">
        <v>5</v>
      </c>
      <c r="AW829" t="s">
        <v>108</v>
      </c>
      <c r="AX829">
        <v>12</v>
      </c>
      <c r="AY829" t="s">
        <v>134</v>
      </c>
      <c r="AZ829" t="s">
        <v>109</v>
      </c>
      <c r="BA829" t="s">
        <v>1031</v>
      </c>
      <c r="BB829">
        <v>12</v>
      </c>
      <c r="BC829">
        <v>14</v>
      </c>
      <c r="BE829" t="s">
        <v>139</v>
      </c>
      <c r="BF829">
        <v>5</v>
      </c>
      <c r="BG829">
        <v>1</v>
      </c>
      <c r="BN829">
        <v>30</v>
      </c>
      <c r="BR829" t="s">
        <v>449</v>
      </c>
      <c r="BS829" t="s">
        <v>1766</v>
      </c>
      <c r="BT829" t="s">
        <v>452</v>
      </c>
      <c r="BU829" t="s">
        <v>1773</v>
      </c>
      <c r="BV829">
        <v>25.626629999999999</v>
      </c>
      <c r="BW829" t="s">
        <v>454</v>
      </c>
      <c r="BX829">
        <v>9</v>
      </c>
      <c r="BY829">
        <v>26.73629</v>
      </c>
      <c r="BZ829" t="s">
        <v>454</v>
      </c>
      <c r="CA829">
        <v>9</v>
      </c>
      <c r="CB829" t="s">
        <v>113</v>
      </c>
      <c r="CC829" t="s">
        <v>1754</v>
      </c>
    </row>
    <row r="830" spans="1:81" x14ac:dyDescent="0.25">
      <c r="A830" t="s">
        <v>81</v>
      </c>
      <c r="B830">
        <v>829</v>
      </c>
      <c r="C830">
        <v>148</v>
      </c>
      <c r="D830">
        <v>136</v>
      </c>
      <c r="E830">
        <v>178</v>
      </c>
      <c r="F830">
        <v>191</v>
      </c>
      <c r="G830">
        <v>477</v>
      </c>
      <c r="H830">
        <v>719</v>
      </c>
      <c r="I830" t="s">
        <v>1683</v>
      </c>
      <c r="J830" t="s">
        <v>931</v>
      </c>
      <c r="L830" t="s">
        <v>1771</v>
      </c>
      <c r="M830" t="s">
        <v>85</v>
      </c>
      <c r="O830" t="s">
        <v>14</v>
      </c>
      <c r="P830" t="s">
        <v>1756</v>
      </c>
      <c r="Q830" t="s">
        <v>1757</v>
      </c>
      <c r="R830">
        <v>2018</v>
      </c>
      <c r="S830" t="s">
        <v>716</v>
      </c>
      <c r="U830" t="s">
        <v>1758</v>
      </c>
      <c r="V830" t="s">
        <v>1759</v>
      </c>
      <c r="W830" t="s">
        <v>1380</v>
      </c>
      <c r="X830" t="s">
        <v>1585</v>
      </c>
      <c r="Y830" t="s">
        <v>1760</v>
      </c>
      <c r="Z830" t="s">
        <v>1761</v>
      </c>
      <c r="AA830" t="s">
        <v>1762</v>
      </c>
      <c r="AB830" t="s">
        <v>1763</v>
      </c>
      <c r="AC830" t="s">
        <v>1764</v>
      </c>
      <c r="AD830" t="s">
        <v>132</v>
      </c>
      <c r="AE830" t="s">
        <v>316</v>
      </c>
      <c r="AF830" t="s">
        <v>100</v>
      </c>
      <c r="AG830" t="s">
        <v>102</v>
      </c>
      <c r="AH830" t="s">
        <v>102</v>
      </c>
      <c r="AI830" t="s">
        <v>134</v>
      </c>
      <c r="AJ830" t="s">
        <v>135</v>
      </c>
      <c r="AM830" t="s">
        <v>136</v>
      </c>
      <c r="AN830" t="s">
        <v>106</v>
      </c>
      <c r="AO830">
        <v>-41.866666666699999</v>
      </c>
      <c r="AP830">
        <v>-73.849999999999994</v>
      </c>
      <c r="AQ830">
        <f t="shared" si="39"/>
        <v>-7.5</v>
      </c>
      <c r="AV830">
        <v>5</v>
      </c>
      <c r="AW830" t="s">
        <v>108</v>
      </c>
      <c r="AX830">
        <v>12</v>
      </c>
      <c r="AY830" t="s">
        <v>103</v>
      </c>
      <c r="AZ830" t="s">
        <v>109</v>
      </c>
      <c r="BA830" t="s">
        <v>1031</v>
      </c>
      <c r="BB830">
        <v>14</v>
      </c>
      <c r="BC830">
        <v>16</v>
      </c>
      <c r="BE830" t="s">
        <v>139</v>
      </c>
      <c r="BF830">
        <v>5</v>
      </c>
      <c r="BG830">
        <v>1</v>
      </c>
      <c r="BN830">
        <v>30</v>
      </c>
      <c r="BR830" t="s">
        <v>449</v>
      </c>
      <c r="BT830" t="s">
        <v>452</v>
      </c>
      <c r="BU830" t="s">
        <v>1772</v>
      </c>
      <c r="BV830">
        <v>26.73629</v>
      </c>
      <c r="BW830" t="s">
        <v>454</v>
      </c>
      <c r="BX830">
        <v>9</v>
      </c>
      <c r="BY830">
        <v>27.258489999999998</v>
      </c>
      <c r="BZ830" t="s">
        <v>454</v>
      </c>
      <c r="CA830">
        <v>9</v>
      </c>
      <c r="CB830" t="s">
        <v>113</v>
      </c>
      <c r="CC830" t="s">
        <v>1754</v>
      </c>
    </row>
    <row r="831" spans="1:81" x14ac:dyDescent="0.25">
      <c r="A831" t="s">
        <v>81</v>
      </c>
      <c r="B831">
        <v>830</v>
      </c>
      <c r="C831">
        <v>148</v>
      </c>
      <c r="D831">
        <v>136</v>
      </c>
      <c r="E831">
        <v>178</v>
      </c>
      <c r="F831">
        <v>191</v>
      </c>
      <c r="G831">
        <v>478</v>
      </c>
      <c r="H831">
        <v>720</v>
      </c>
      <c r="I831" t="s">
        <v>1683</v>
      </c>
      <c r="J831" t="s">
        <v>1774</v>
      </c>
      <c r="L831" t="s">
        <v>1775</v>
      </c>
      <c r="M831" t="s">
        <v>85</v>
      </c>
      <c r="O831" t="s">
        <v>14</v>
      </c>
      <c r="P831" t="s">
        <v>1756</v>
      </c>
      <c r="Q831" t="s">
        <v>1757</v>
      </c>
      <c r="R831">
        <v>2018</v>
      </c>
      <c r="S831" t="s">
        <v>716</v>
      </c>
      <c r="U831" t="s">
        <v>1758</v>
      </c>
      <c r="V831" t="s">
        <v>1759</v>
      </c>
      <c r="W831" t="s">
        <v>1380</v>
      </c>
      <c r="X831" t="s">
        <v>1585</v>
      </c>
      <c r="Y831" t="s">
        <v>1760</v>
      </c>
      <c r="Z831" t="s">
        <v>1761</v>
      </c>
      <c r="AA831" t="s">
        <v>1762</v>
      </c>
      <c r="AB831" t="s">
        <v>1763</v>
      </c>
      <c r="AC831" t="s">
        <v>1764</v>
      </c>
      <c r="AD831" t="s">
        <v>132</v>
      </c>
      <c r="AE831" t="s">
        <v>316</v>
      </c>
      <c r="AF831" t="s">
        <v>100</v>
      </c>
      <c r="AG831" t="s">
        <v>102</v>
      </c>
      <c r="AH831" t="s">
        <v>102</v>
      </c>
      <c r="AI831" t="s">
        <v>134</v>
      </c>
      <c r="AJ831" t="s">
        <v>135</v>
      </c>
      <c r="AM831" t="s">
        <v>136</v>
      </c>
      <c r="AN831" t="s">
        <v>106</v>
      </c>
      <c r="AO831">
        <v>-41.866666666699999</v>
      </c>
      <c r="AP831">
        <v>-73.849999999999994</v>
      </c>
      <c r="AQ831">
        <f t="shared" si="39"/>
        <v>-7.5</v>
      </c>
      <c r="AV831">
        <v>5</v>
      </c>
      <c r="AW831" t="s">
        <v>108</v>
      </c>
      <c r="AX831">
        <v>12</v>
      </c>
      <c r="AY831" t="s">
        <v>103</v>
      </c>
      <c r="AZ831" t="s">
        <v>109</v>
      </c>
      <c r="BA831" t="s">
        <v>1031</v>
      </c>
      <c r="BB831">
        <v>6</v>
      </c>
      <c r="BC831">
        <v>8</v>
      </c>
      <c r="BE831" t="s">
        <v>139</v>
      </c>
      <c r="BF831">
        <v>5</v>
      </c>
      <c r="BG831">
        <v>1</v>
      </c>
      <c r="BN831">
        <v>30</v>
      </c>
      <c r="BR831" t="s">
        <v>69</v>
      </c>
      <c r="BT831" t="s">
        <v>452</v>
      </c>
      <c r="BU831" t="s">
        <v>1776</v>
      </c>
      <c r="BV831">
        <v>25.117190000000001</v>
      </c>
      <c r="BW831" t="s">
        <v>454</v>
      </c>
      <c r="BX831">
        <v>9</v>
      </c>
      <c r="BY831">
        <v>22.513020000000001</v>
      </c>
      <c r="BZ831" t="s">
        <v>454</v>
      </c>
      <c r="CA831">
        <v>9</v>
      </c>
      <c r="CB831" t="s">
        <v>113</v>
      </c>
      <c r="CC831" t="s">
        <v>1754</v>
      </c>
    </row>
    <row r="832" spans="1:81" x14ac:dyDescent="0.25">
      <c r="A832" t="s">
        <v>81</v>
      </c>
      <c r="B832">
        <v>831</v>
      </c>
      <c r="C832">
        <v>148</v>
      </c>
      <c r="D832">
        <v>136</v>
      </c>
      <c r="E832">
        <v>178</v>
      </c>
      <c r="F832">
        <v>191</v>
      </c>
      <c r="G832">
        <v>478</v>
      </c>
      <c r="H832">
        <v>721</v>
      </c>
      <c r="I832" t="s">
        <v>1683</v>
      </c>
      <c r="J832" t="s">
        <v>1774</v>
      </c>
      <c r="L832" t="s">
        <v>1775</v>
      </c>
      <c r="M832" t="s">
        <v>85</v>
      </c>
      <c r="O832" t="s">
        <v>14</v>
      </c>
      <c r="P832" t="s">
        <v>1756</v>
      </c>
      <c r="Q832" t="s">
        <v>1757</v>
      </c>
      <c r="R832">
        <v>2018</v>
      </c>
      <c r="S832" t="s">
        <v>716</v>
      </c>
      <c r="U832" t="s">
        <v>1758</v>
      </c>
      <c r="V832" t="s">
        <v>1759</v>
      </c>
      <c r="W832" t="s">
        <v>1380</v>
      </c>
      <c r="X832" t="s">
        <v>1585</v>
      </c>
      <c r="Y832" t="s">
        <v>1760</v>
      </c>
      <c r="Z832" t="s">
        <v>1761</v>
      </c>
      <c r="AA832" t="s">
        <v>1762</v>
      </c>
      <c r="AB832" t="s">
        <v>1763</v>
      </c>
      <c r="AC832" t="s">
        <v>1764</v>
      </c>
      <c r="AD832" t="s">
        <v>132</v>
      </c>
      <c r="AE832" t="s">
        <v>316</v>
      </c>
      <c r="AF832" t="s">
        <v>100</v>
      </c>
      <c r="AG832" t="s">
        <v>102</v>
      </c>
      <c r="AH832" t="s">
        <v>102</v>
      </c>
      <c r="AI832" t="s">
        <v>134</v>
      </c>
      <c r="AJ832" t="s">
        <v>135</v>
      </c>
      <c r="AM832" t="s">
        <v>136</v>
      </c>
      <c r="AN832" t="s">
        <v>106</v>
      </c>
      <c r="AO832">
        <v>-41.866666666699999</v>
      </c>
      <c r="AP832">
        <v>-73.849999999999994</v>
      </c>
      <c r="AQ832">
        <f t="shared" si="39"/>
        <v>-7.5</v>
      </c>
      <c r="AV832">
        <v>5</v>
      </c>
      <c r="AW832" t="s">
        <v>108</v>
      </c>
      <c r="AX832">
        <v>12</v>
      </c>
      <c r="AY832" t="s">
        <v>103</v>
      </c>
      <c r="AZ832" t="s">
        <v>109</v>
      </c>
      <c r="BA832" t="s">
        <v>1031</v>
      </c>
      <c r="BB832">
        <v>8</v>
      </c>
      <c r="BC832">
        <v>10</v>
      </c>
      <c r="BE832" t="s">
        <v>139</v>
      </c>
      <c r="BF832">
        <v>5</v>
      </c>
      <c r="BG832">
        <v>1</v>
      </c>
      <c r="BN832">
        <v>30</v>
      </c>
      <c r="BR832" t="s">
        <v>69</v>
      </c>
      <c r="BT832" t="s">
        <v>452</v>
      </c>
      <c r="BU832" t="s">
        <v>1776</v>
      </c>
      <c r="BV832">
        <v>22.513020000000001</v>
      </c>
      <c r="BW832" t="s">
        <v>454</v>
      </c>
      <c r="BX832">
        <v>9</v>
      </c>
      <c r="BY832">
        <v>23.75</v>
      </c>
      <c r="BZ832" t="s">
        <v>454</v>
      </c>
      <c r="CA832">
        <v>9</v>
      </c>
      <c r="CB832" t="s">
        <v>113</v>
      </c>
      <c r="CC832" t="s">
        <v>1754</v>
      </c>
    </row>
    <row r="833" spans="1:81" x14ac:dyDescent="0.25">
      <c r="A833" t="s">
        <v>81</v>
      </c>
      <c r="B833">
        <v>832</v>
      </c>
      <c r="C833">
        <v>148</v>
      </c>
      <c r="D833">
        <v>136</v>
      </c>
      <c r="E833">
        <v>178</v>
      </c>
      <c r="F833">
        <v>191</v>
      </c>
      <c r="G833">
        <v>478</v>
      </c>
      <c r="H833">
        <v>722</v>
      </c>
      <c r="I833" t="s">
        <v>1683</v>
      </c>
      <c r="J833" t="s">
        <v>1774</v>
      </c>
      <c r="L833" t="s">
        <v>1775</v>
      </c>
      <c r="M833" t="s">
        <v>85</v>
      </c>
      <c r="O833" t="s">
        <v>14</v>
      </c>
      <c r="P833" t="s">
        <v>1756</v>
      </c>
      <c r="Q833" t="s">
        <v>1757</v>
      </c>
      <c r="R833">
        <v>2018</v>
      </c>
      <c r="S833" t="s">
        <v>716</v>
      </c>
      <c r="U833" t="s">
        <v>1758</v>
      </c>
      <c r="V833" t="s">
        <v>1759</v>
      </c>
      <c r="W833" t="s">
        <v>1380</v>
      </c>
      <c r="X833" t="s">
        <v>1585</v>
      </c>
      <c r="Y833" t="s">
        <v>1760</v>
      </c>
      <c r="Z833" t="s">
        <v>1761</v>
      </c>
      <c r="AA833" t="s">
        <v>1762</v>
      </c>
      <c r="AB833" t="s">
        <v>1763</v>
      </c>
      <c r="AC833" t="s">
        <v>1764</v>
      </c>
      <c r="AD833" t="s">
        <v>132</v>
      </c>
      <c r="AE833" t="s">
        <v>316</v>
      </c>
      <c r="AF833" t="s">
        <v>100</v>
      </c>
      <c r="AG833" t="s">
        <v>102</v>
      </c>
      <c r="AH833" t="s">
        <v>102</v>
      </c>
      <c r="AI833" t="s">
        <v>134</v>
      </c>
      <c r="AJ833" t="s">
        <v>135</v>
      </c>
      <c r="AM833" t="s">
        <v>136</v>
      </c>
      <c r="AN833" t="s">
        <v>106</v>
      </c>
      <c r="AO833">
        <v>-41.866666666699999</v>
      </c>
      <c r="AP833">
        <v>-73.849999999999994</v>
      </c>
      <c r="AQ833">
        <f t="shared" si="39"/>
        <v>-7.5</v>
      </c>
      <c r="AV833">
        <v>5</v>
      </c>
      <c r="AW833" t="s">
        <v>108</v>
      </c>
      <c r="AX833">
        <v>12</v>
      </c>
      <c r="AY833" t="s">
        <v>134</v>
      </c>
      <c r="AZ833" t="s">
        <v>109</v>
      </c>
      <c r="BA833" t="s">
        <v>1031</v>
      </c>
      <c r="BB833">
        <v>10</v>
      </c>
      <c r="BC833">
        <v>12</v>
      </c>
      <c r="BE833" t="s">
        <v>139</v>
      </c>
      <c r="BF833">
        <v>5</v>
      </c>
      <c r="BG833">
        <v>1</v>
      </c>
      <c r="BN833">
        <v>30</v>
      </c>
      <c r="BR833" t="s">
        <v>69</v>
      </c>
      <c r="BS833" t="s">
        <v>1766</v>
      </c>
      <c r="BT833" t="s">
        <v>452</v>
      </c>
      <c r="BU833" t="s">
        <v>1777</v>
      </c>
      <c r="BV833">
        <v>23.75</v>
      </c>
      <c r="BW833" t="s">
        <v>454</v>
      </c>
      <c r="BX833">
        <v>9</v>
      </c>
      <c r="BY833">
        <v>25.3125</v>
      </c>
      <c r="BZ833" t="s">
        <v>454</v>
      </c>
      <c r="CA833">
        <v>9</v>
      </c>
      <c r="CB833" t="s">
        <v>113</v>
      </c>
      <c r="CC833" t="s">
        <v>1754</v>
      </c>
    </row>
    <row r="834" spans="1:81" x14ac:dyDescent="0.25">
      <c r="A834" t="s">
        <v>81</v>
      </c>
      <c r="B834">
        <v>833</v>
      </c>
      <c r="C834">
        <v>148</v>
      </c>
      <c r="D834">
        <v>136</v>
      </c>
      <c r="E834">
        <v>178</v>
      </c>
      <c r="F834">
        <v>191</v>
      </c>
      <c r="G834">
        <v>478</v>
      </c>
      <c r="H834">
        <v>723</v>
      </c>
      <c r="I834" t="s">
        <v>1683</v>
      </c>
      <c r="J834" t="s">
        <v>1774</v>
      </c>
      <c r="L834" t="s">
        <v>1775</v>
      </c>
      <c r="M834" t="s">
        <v>85</v>
      </c>
      <c r="O834" t="s">
        <v>14</v>
      </c>
      <c r="P834" t="s">
        <v>1756</v>
      </c>
      <c r="Q834" t="s">
        <v>1757</v>
      </c>
      <c r="R834">
        <v>2018</v>
      </c>
      <c r="S834" t="s">
        <v>716</v>
      </c>
      <c r="U834" t="s">
        <v>1758</v>
      </c>
      <c r="V834" t="s">
        <v>1759</v>
      </c>
      <c r="W834" t="s">
        <v>1380</v>
      </c>
      <c r="X834" t="s">
        <v>1585</v>
      </c>
      <c r="Y834" t="s">
        <v>1760</v>
      </c>
      <c r="Z834" t="s">
        <v>1761</v>
      </c>
      <c r="AA834" t="s">
        <v>1762</v>
      </c>
      <c r="AB834" t="s">
        <v>1763</v>
      </c>
      <c r="AC834" t="s">
        <v>1764</v>
      </c>
      <c r="AD834" t="s">
        <v>132</v>
      </c>
      <c r="AE834" t="s">
        <v>316</v>
      </c>
      <c r="AF834" t="s">
        <v>100</v>
      </c>
      <c r="AG834" t="s">
        <v>102</v>
      </c>
      <c r="AH834" t="s">
        <v>102</v>
      </c>
      <c r="AI834" t="s">
        <v>134</v>
      </c>
      <c r="AJ834" t="s">
        <v>135</v>
      </c>
      <c r="AM834" t="s">
        <v>136</v>
      </c>
      <c r="AN834" t="s">
        <v>106</v>
      </c>
      <c r="AO834">
        <v>-41.866666666699999</v>
      </c>
      <c r="AP834">
        <v>-73.849999999999994</v>
      </c>
      <c r="AQ834">
        <f t="shared" si="39"/>
        <v>-7.5</v>
      </c>
      <c r="AV834">
        <v>5</v>
      </c>
      <c r="AW834" t="s">
        <v>108</v>
      </c>
      <c r="AX834">
        <v>12</v>
      </c>
      <c r="AY834" t="s">
        <v>134</v>
      </c>
      <c r="AZ834" t="s">
        <v>109</v>
      </c>
      <c r="BA834" t="s">
        <v>1031</v>
      </c>
      <c r="BB834">
        <v>12</v>
      </c>
      <c r="BC834">
        <v>14</v>
      </c>
      <c r="BE834" t="s">
        <v>139</v>
      </c>
      <c r="BF834">
        <v>5</v>
      </c>
      <c r="BG834">
        <v>1</v>
      </c>
      <c r="BN834">
        <v>30</v>
      </c>
      <c r="BR834" t="s">
        <v>69</v>
      </c>
      <c r="BS834" t="s">
        <v>1766</v>
      </c>
      <c r="BT834" t="s">
        <v>452</v>
      </c>
      <c r="BU834" t="s">
        <v>1777</v>
      </c>
      <c r="BV834">
        <v>25.3125</v>
      </c>
      <c r="BW834" t="s">
        <v>454</v>
      </c>
      <c r="BX834">
        <v>9</v>
      </c>
      <c r="BY834">
        <v>26.158850000000001</v>
      </c>
      <c r="BZ834" t="s">
        <v>454</v>
      </c>
      <c r="CA834">
        <v>9</v>
      </c>
      <c r="CB834" t="s">
        <v>113</v>
      </c>
      <c r="CC834" t="s">
        <v>1754</v>
      </c>
    </row>
    <row r="835" spans="1:81" x14ac:dyDescent="0.25">
      <c r="A835" t="s">
        <v>81</v>
      </c>
      <c r="B835">
        <v>834</v>
      </c>
      <c r="C835">
        <v>148</v>
      </c>
      <c r="D835">
        <v>136</v>
      </c>
      <c r="E835">
        <v>178</v>
      </c>
      <c r="F835">
        <v>191</v>
      </c>
      <c r="G835">
        <v>478</v>
      </c>
      <c r="H835">
        <v>724</v>
      </c>
      <c r="I835" t="s">
        <v>1683</v>
      </c>
      <c r="J835" t="s">
        <v>1774</v>
      </c>
      <c r="L835" t="s">
        <v>1775</v>
      </c>
      <c r="M835" t="s">
        <v>85</v>
      </c>
      <c r="O835" t="s">
        <v>14</v>
      </c>
      <c r="P835" t="s">
        <v>1756</v>
      </c>
      <c r="Q835" t="s">
        <v>1757</v>
      </c>
      <c r="R835">
        <v>2018</v>
      </c>
      <c r="S835" t="s">
        <v>716</v>
      </c>
      <c r="U835" t="s">
        <v>1758</v>
      </c>
      <c r="V835" t="s">
        <v>1759</v>
      </c>
      <c r="W835" t="s">
        <v>1380</v>
      </c>
      <c r="X835" t="s">
        <v>1585</v>
      </c>
      <c r="Y835" t="s">
        <v>1760</v>
      </c>
      <c r="Z835" t="s">
        <v>1761</v>
      </c>
      <c r="AA835" t="s">
        <v>1762</v>
      </c>
      <c r="AB835" t="s">
        <v>1763</v>
      </c>
      <c r="AC835" t="s">
        <v>1764</v>
      </c>
      <c r="AD835" t="s">
        <v>132</v>
      </c>
      <c r="AE835" t="s">
        <v>316</v>
      </c>
      <c r="AF835" t="s">
        <v>100</v>
      </c>
      <c r="AG835" t="s">
        <v>102</v>
      </c>
      <c r="AH835" t="s">
        <v>102</v>
      </c>
      <c r="AI835" t="s">
        <v>134</v>
      </c>
      <c r="AJ835" t="s">
        <v>135</v>
      </c>
      <c r="AM835" t="s">
        <v>136</v>
      </c>
      <c r="AN835" t="s">
        <v>106</v>
      </c>
      <c r="AO835">
        <v>-41.866666666699999</v>
      </c>
      <c r="AP835">
        <v>-73.849999999999994</v>
      </c>
      <c r="AQ835">
        <f t="shared" si="39"/>
        <v>-7.5</v>
      </c>
      <c r="AV835">
        <v>5</v>
      </c>
      <c r="AW835" t="s">
        <v>108</v>
      </c>
      <c r="AX835">
        <v>12</v>
      </c>
      <c r="AY835" t="s">
        <v>103</v>
      </c>
      <c r="AZ835" t="s">
        <v>109</v>
      </c>
      <c r="BA835" t="s">
        <v>1031</v>
      </c>
      <c r="BB835">
        <v>14</v>
      </c>
      <c r="BC835">
        <v>16</v>
      </c>
      <c r="BE835" t="s">
        <v>139</v>
      </c>
      <c r="BF835">
        <v>5</v>
      </c>
      <c r="BG835">
        <v>1</v>
      </c>
      <c r="BN835">
        <v>30</v>
      </c>
      <c r="BR835" t="s">
        <v>69</v>
      </c>
      <c r="BT835" t="s">
        <v>452</v>
      </c>
      <c r="BU835" t="s">
        <v>1776</v>
      </c>
      <c r="BV835">
        <v>26.158850000000001</v>
      </c>
      <c r="BW835" t="s">
        <v>454</v>
      </c>
      <c r="BX835">
        <v>9</v>
      </c>
      <c r="BY835">
        <v>26.679690000000001</v>
      </c>
      <c r="BZ835" t="s">
        <v>454</v>
      </c>
      <c r="CA835">
        <v>9</v>
      </c>
      <c r="CB835" t="s">
        <v>113</v>
      </c>
      <c r="CC835" t="s">
        <v>1754</v>
      </c>
    </row>
    <row r="836" spans="1:81" x14ac:dyDescent="0.25">
      <c r="A836" s="10" t="s">
        <v>1778</v>
      </c>
      <c r="B836">
        <v>835</v>
      </c>
      <c r="C836" s="10">
        <v>62</v>
      </c>
      <c r="D836" s="10">
        <v>58</v>
      </c>
      <c r="E836" s="10">
        <v>179</v>
      </c>
      <c r="F836" s="10">
        <v>192</v>
      </c>
      <c r="G836" s="10">
        <v>479</v>
      </c>
      <c r="H836" s="10">
        <v>725</v>
      </c>
      <c r="I836" s="10"/>
      <c r="J836" s="10" t="s">
        <v>197</v>
      </c>
      <c r="K836" s="10"/>
      <c r="L836" s="10"/>
      <c r="M836" s="10" t="s">
        <v>85</v>
      </c>
      <c r="N836" s="10"/>
      <c r="O836" s="10" t="s">
        <v>14</v>
      </c>
      <c r="P836" s="10" t="s">
        <v>1779</v>
      </c>
      <c r="Q836" s="10" t="s">
        <v>1780</v>
      </c>
      <c r="R836" s="10">
        <v>2019</v>
      </c>
      <c r="S836" s="10" t="s">
        <v>380</v>
      </c>
      <c r="T836" s="10"/>
      <c r="U836" s="10" t="s">
        <v>1781</v>
      </c>
      <c r="V836" s="10" t="s">
        <v>1782</v>
      </c>
      <c r="W836" s="10" t="s">
        <v>1267</v>
      </c>
      <c r="X836" s="10" t="s">
        <v>1477</v>
      </c>
      <c r="Y836" s="10" t="s">
        <v>1478</v>
      </c>
      <c r="Z836" s="10" t="s">
        <v>1783</v>
      </c>
      <c r="AA836" s="10" t="s">
        <v>1784</v>
      </c>
      <c r="AB836" s="10" t="s">
        <v>421</v>
      </c>
      <c r="AC836" s="10" t="s">
        <v>1785</v>
      </c>
      <c r="AD836" s="10" t="s">
        <v>132</v>
      </c>
      <c r="AE836" s="10" t="s">
        <v>316</v>
      </c>
      <c r="AF836" s="10" t="s">
        <v>100</v>
      </c>
      <c r="AG836" s="10" t="s">
        <v>102</v>
      </c>
      <c r="AH836" s="10" t="s">
        <v>102</v>
      </c>
      <c r="AI836" s="10" t="s">
        <v>134</v>
      </c>
      <c r="AJ836" s="10" t="s">
        <v>135</v>
      </c>
      <c r="AK836" s="10"/>
      <c r="AL836" s="10"/>
      <c r="AM836" s="10" t="s">
        <v>136</v>
      </c>
      <c r="AN836" s="10" t="s">
        <v>106</v>
      </c>
      <c r="AO836" s="10">
        <v>-29.95</v>
      </c>
      <c r="AP836" s="10">
        <v>-71.349999999999994</v>
      </c>
      <c r="AQ836" s="10">
        <v>0</v>
      </c>
      <c r="AR836" s="10"/>
      <c r="AS836" s="10"/>
      <c r="AT836" s="10">
        <f>(9.69+9.71)/2</f>
        <v>9.6999999999999993</v>
      </c>
      <c r="AU836" s="10">
        <f>(0.35+0.36)/2</f>
        <v>0.35499999999999998</v>
      </c>
      <c r="AV836" s="10">
        <v>30</v>
      </c>
      <c r="AW836" s="10" t="s">
        <v>108</v>
      </c>
      <c r="AX836" s="10">
        <v>16</v>
      </c>
      <c r="AY836" s="10" t="s">
        <v>103</v>
      </c>
      <c r="AZ836" s="10" t="s">
        <v>109</v>
      </c>
      <c r="BA836" s="10" t="s">
        <v>110</v>
      </c>
      <c r="BB836" s="10">
        <v>14.95</v>
      </c>
      <c r="BC836" s="10">
        <v>20.010000000000002</v>
      </c>
      <c r="BD836" s="10">
        <f>(0.15+0.26)/2</f>
        <v>0.20500000000000002</v>
      </c>
      <c r="BE836" s="10" t="s">
        <v>139</v>
      </c>
      <c r="BF836" s="10">
        <v>30</v>
      </c>
      <c r="BG836" s="10">
        <f>(0.045+0.052)/2</f>
        <v>4.8500000000000001E-2</v>
      </c>
      <c r="BH836" s="10"/>
      <c r="BI836" s="10"/>
      <c r="BJ836" s="10"/>
      <c r="BK836" s="10"/>
      <c r="BL836" s="10"/>
      <c r="BM836" s="10"/>
      <c r="BN836" s="10">
        <f>(34.426+34.294)/2</f>
        <v>34.36</v>
      </c>
      <c r="BO836" s="10">
        <f>(7.738+7.771)/2</f>
        <v>7.7545000000000002</v>
      </c>
      <c r="BP836" s="10">
        <v>10</v>
      </c>
      <c r="BQ836" s="10"/>
      <c r="BR836" s="10" t="s">
        <v>449</v>
      </c>
      <c r="BS836" s="10"/>
      <c r="BT836" s="10"/>
      <c r="BU836" s="10" t="s">
        <v>1786</v>
      </c>
      <c r="BV836">
        <v>26.75</v>
      </c>
      <c r="BW836">
        <v>0.45254833999999999</v>
      </c>
      <c r="BX836">
        <v>8</v>
      </c>
      <c r="BY836">
        <v>27.75</v>
      </c>
      <c r="BZ836">
        <v>0.45254833999999999</v>
      </c>
      <c r="CA836">
        <v>8</v>
      </c>
      <c r="CB836" t="s">
        <v>113</v>
      </c>
      <c r="CC836" t="s">
        <v>1787</v>
      </c>
    </row>
    <row r="837" spans="1:81" x14ac:dyDescent="0.25">
      <c r="A837" s="10" t="s">
        <v>1788</v>
      </c>
      <c r="B837">
        <v>836</v>
      </c>
      <c r="C837" s="10">
        <v>62</v>
      </c>
      <c r="D837" s="10">
        <v>58</v>
      </c>
      <c r="E837" s="10">
        <v>179</v>
      </c>
      <c r="F837" s="10">
        <v>192</v>
      </c>
      <c r="G837" s="10">
        <v>480</v>
      </c>
      <c r="H837" s="10">
        <v>726</v>
      </c>
      <c r="I837" s="10"/>
      <c r="J837" s="10" t="s">
        <v>197</v>
      </c>
      <c r="K837" s="10"/>
      <c r="L837" s="10"/>
      <c r="M837" s="10" t="s">
        <v>85</v>
      </c>
      <c r="N837" s="10"/>
      <c r="O837" s="10" t="s">
        <v>14</v>
      </c>
      <c r="P837" s="10" t="s">
        <v>1779</v>
      </c>
      <c r="Q837" s="10" t="s">
        <v>1780</v>
      </c>
      <c r="R837" s="10">
        <v>2019</v>
      </c>
      <c r="S837" s="10" t="s">
        <v>380</v>
      </c>
      <c r="T837" s="10"/>
      <c r="U837" s="10" t="s">
        <v>1781</v>
      </c>
      <c r="V837" s="10" t="s">
        <v>1782</v>
      </c>
      <c r="W837" s="10" t="s">
        <v>1267</v>
      </c>
      <c r="X837" s="10" t="s">
        <v>1477</v>
      </c>
      <c r="Y837" s="10" t="s">
        <v>1478</v>
      </c>
      <c r="Z837" s="10" t="s">
        <v>1783</v>
      </c>
      <c r="AA837" s="10" t="s">
        <v>1784</v>
      </c>
      <c r="AB837" s="10" t="s">
        <v>421</v>
      </c>
      <c r="AC837" s="10" t="s">
        <v>1785</v>
      </c>
      <c r="AD837" s="10" t="s">
        <v>132</v>
      </c>
      <c r="AE837" s="10" t="s">
        <v>316</v>
      </c>
      <c r="AF837" s="10" t="s">
        <v>100</v>
      </c>
      <c r="AG837" s="10" t="s">
        <v>102</v>
      </c>
      <c r="AH837" s="10" t="s">
        <v>102</v>
      </c>
      <c r="AI837" s="10" t="s">
        <v>134</v>
      </c>
      <c r="AJ837" s="10" t="s">
        <v>135</v>
      </c>
      <c r="AK837" s="10"/>
      <c r="AL837" s="10"/>
      <c r="AM837" s="10" t="s">
        <v>136</v>
      </c>
      <c r="AN837" s="10" t="s">
        <v>106</v>
      </c>
      <c r="AO837" s="10">
        <v>-29.95</v>
      </c>
      <c r="AP837" s="10">
        <v>-71.349999999999994</v>
      </c>
      <c r="AQ837" s="10">
        <v>0</v>
      </c>
      <c r="AR837" s="10"/>
      <c r="AS837" s="10"/>
      <c r="AT837" s="10">
        <f>(9.44+9.65)/2</f>
        <v>9.5449999999999999</v>
      </c>
      <c r="AU837" s="10">
        <f>(0.32+0.37)/2</f>
        <v>0.34499999999999997</v>
      </c>
      <c r="AV837" s="10">
        <v>30</v>
      </c>
      <c r="AW837" s="10" t="s">
        <v>108</v>
      </c>
      <c r="AX837" s="10">
        <v>16</v>
      </c>
      <c r="AY837" s="10" t="s">
        <v>103</v>
      </c>
      <c r="AZ837" s="10" t="s">
        <v>109</v>
      </c>
      <c r="BA837" s="10" t="s">
        <v>110</v>
      </c>
      <c r="BB837" s="10">
        <v>15.05</v>
      </c>
      <c r="BC837" s="10">
        <v>20.22</v>
      </c>
      <c r="BD837" s="10">
        <f>(0.16+0.19)/2</f>
        <v>0.17499999999999999</v>
      </c>
      <c r="BE837" s="10" t="s">
        <v>139</v>
      </c>
      <c r="BF837" s="10">
        <v>30</v>
      </c>
      <c r="BG837" s="10">
        <f>(0.047+0.048)/2</f>
        <v>4.7500000000000001E-2</v>
      </c>
      <c r="BH837" s="10"/>
      <c r="BI837" s="10"/>
      <c r="BJ837" s="10"/>
      <c r="BK837" s="10"/>
      <c r="BL837" s="10"/>
      <c r="BM837" s="10"/>
      <c r="BN837" s="10">
        <f>(34.406+34.454)/2</f>
        <v>34.43</v>
      </c>
      <c r="BO837" s="10">
        <f>(7.428+7.453)/2</f>
        <v>7.4405000000000001</v>
      </c>
      <c r="BP837" s="10">
        <v>10</v>
      </c>
      <c r="BQ837" s="10"/>
      <c r="BR837" s="10" t="s">
        <v>449</v>
      </c>
      <c r="BS837" s="10"/>
      <c r="BT837" s="10"/>
      <c r="BU837" s="10" t="s">
        <v>1786</v>
      </c>
      <c r="BV837">
        <v>26.5</v>
      </c>
      <c r="BW837">
        <v>1.0748023069999999</v>
      </c>
      <c r="BX837">
        <v>8</v>
      </c>
      <c r="BY837">
        <v>26.75</v>
      </c>
      <c r="BZ837">
        <v>2.3758787849999998</v>
      </c>
      <c r="CA837">
        <v>8</v>
      </c>
      <c r="CB837" t="s">
        <v>113</v>
      </c>
      <c r="CC837" t="s">
        <v>1787</v>
      </c>
    </row>
    <row r="838" spans="1:81" x14ac:dyDescent="0.25">
      <c r="A838" s="10" t="s">
        <v>1788</v>
      </c>
      <c r="B838">
        <v>837</v>
      </c>
      <c r="C838" s="10">
        <v>59</v>
      </c>
      <c r="D838" s="10">
        <v>55</v>
      </c>
      <c r="E838" s="10">
        <v>180</v>
      </c>
      <c r="F838" s="10">
        <v>193</v>
      </c>
      <c r="G838" s="10">
        <v>481</v>
      </c>
      <c r="H838" s="10">
        <v>727</v>
      </c>
      <c r="I838" s="10" t="s">
        <v>118</v>
      </c>
      <c r="J838" s="10" t="s">
        <v>691</v>
      </c>
      <c r="K838" s="10"/>
      <c r="L838" s="10"/>
      <c r="M838" s="10" t="s">
        <v>85</v>
      </c>
      <c r="N838" s="10"/>
      <c r="O838" s="10" t="s">
        <v>14</v>
      </c>
      <c r="P838" s="10" t="s">
        <v>1789</v>
      </c>
      <c r="Q838" s="10" t="s">
        <v>1790</v>
      </c>
      <c r="R838" s="10">
        <v>1996</v>
      </c>
      <c r="S838" s="10" t="s">
        <v>1736</v>
      </c>
      <c r="T838" s="10"/>
      <c r="U838" s="10" t="s">
        <v>1791</v>
      </c>
      <c r="V838" s="10" t="s">
        <v>1792</v>
      </c>
      <c r="W838" s="10" t="s">
        <v>91</v>
      </c>
      <c r="X838" s="10" t="s">
        <v>126</v>
      </c>
      <c r="Y838" s="10" t="s">
        <v>190</v>
      </c>
      <c r="Z838" s="10" t="s">
        <v>191</v>
      </c>
      <c r="AA838" s="10" t="s">
        <v>1793</v>
      </c>
      <c r="AB838" s="10" t="s">
        <v>1794</v>
      </c>
      <c r="AC838" s="10" t="s">
        <v>1795</v>
      </c>
      <c r="AD838" s="10" t="s">
        <v>132</v>
      </c>
      <c r="AE838" s="10" t="s">
        <v>133</v>
      </c>
      <c r="AF838" s="10" t="s">
        <v>100</v>
      </c>
      <c r="AG838" s="10" t="s">
        <v>102</v>
      </c>
      <c r="AH838" s="10" t="s">
        <v>102</v>
      </c>
      <c r="AI838" s="10" t="s">
        <v>134</v>
      </c>
      <c r="AJ838" s="10" t="s">
        <v>135</v>
      </c>
      <c r="AK838" s="10"/>
      <c r="AL838" s="10"/>
      <c r="AM838" s="10" t="s">
        <v>136</v>
      </c>
      <c r="AN838" s="10" t="s">
        <v>106</v>
      </c>
      <c r="AO838" s="10">
        <v>45.226089000000002</v>
      </c>
      <c r="AP838" s="10">
        <v>-111.872322</v>
      </c>
      <c r="AQ838" s="10">
        <v>2235</v>
      </c>
      <c r="AR838" s="10"/>
      <c r="AS838" s="10">
        <v>1992</v>
      </c>
      <c r="AT838" s="10">
        <v>137.5</v>
      </c>
      <c r="AU838" s="10">
        <v>19.5</v>
      </c>
      <c r="AV838" s="10"/>
      <c r="AW838" s="10" t="s">
        <v>108</v>
      </c>
      <c r="AX838" s="10">
        <v>8.4</v>
      </c>
      <c r="AY838" s="10" t="s">
        <v>134</v>
      </c>
      <c r="AZ838" s="10" t="s">
        <v>109</v>
      </c>
      <c r="BA838" s="10" t="s">
        <v>138</v>
      </c>
      <c r="BB838" s="10">
        <v>8.4</v>
      </c>
      <c r="BC838" s="10">
        <v>16</v>
      </c>
      <c r="BD838" s="10">
        <v>0.5</v>
      </c>
      <c r="BE838" s="10" t="s">
        <v>139</v>
      </c>
      <c r="BF838" s="10">
        <v>7</v>
      </c>
      <c r="BG838" s="10">
        <v>0.4</v>
      </c>
      <c r="BH838" s="10"/>
      <c r="BI838" s="10"/>
      <c r="BJ838" s="10"/>
      <c r="BK838" s="10"/>
      <c r="BL838" s="10"/>
      <c r="BM838" s="10"/>
      <c r="BN838" s="10"/>
      <c r="BO838" s="10"/>
      <c r="BP838" s="10">
        <v>16</v>
      </c>
      <c r="BQ838" s="10"/>
      <c r="BR838" s="10" t="s">
        <v>69</v>
      </c>
      <c r="BS838" s="10" t="s">
        <v>1796</v>
      </c>
      <c r="BT838" s="10"/>
      <c r="BU838" s="10" t="s">
        <v>1797</v>
      </c>
      <c r="BV838">
        <v>26.4</v>
      </c>
      <c r="BW838">
        <v>0.8</v>
      </c>
      <c r="BX838">
        <v>20</v>
      </c>
      <c r="BY838">
        <v>28.5</v>
      </c>
      <c r="BZ838">
        <v>0.4</v>
      </c>
      <c r="CA838">
        <v>18</v>
      </c>
      <c r="CB838" t="s">
        <v>113</v>
      </c>
      <c r="CC838" t="s">
        <v>711</v>
      </c>
    </row>
    <row r="839" spans="1:81" x14ac:dyDescent="0.25">
      <c r="A839" s="10" t="s">
        <v>1778</v>
      </c>
      <c r="B839">
        <v>838</v>
      </c>
      <c r="C839" s="10">
        <v>59</v>
      </c>
      <c r="D839" s="10">
        <v>55</v>
      </c>
      <c r="E839" s="10">
        <v>180</v>
      </c>
      <c r="F839" s="10">
        <v>193</v>
      </c>
      <c r="G839" s="10">
        <v>481</v>
      </c>
      <c r="H839" s="10">
        <v>728</v>
      </c>
      <c r="I839" s="10" t="s">
        <v>118</v>
      </c>
      <c r="J839" s="10" t="s">
        <v>691</v>
      </c>
      <c r="K839" s="10"/>
      <c r="L839" s="10"/>
      <c r="M839" s="10" t="s">
        <v>85</v>
      </c>
      <c r="N839" s="10"/>
      <c r="O839" s="10" t="s">
        <v>14</v>
      </c>
      <c r="P839" s="10" t="s">
        <v>1789</v>
      </c>
      <c r="Q839" s="10" t="s">
        <v>1790</v>
      </c>
      <c r="R839" s="10">
        <v>1996</v>
      </c>
      <c r="S839" s="10" t="s">
        <v>1736</v>
      </c>
      <c r="T839" s="10"/>
      <c r="U839" s="10" t="s">
        <v>1791</v>
      </c>
      <c r="V839" s="10" t="s">
        <v>1792</v>
      </c>
      <c r="W839" s="10" t="s">
        <v>91</v>
      </c>
      <c r="X839" s="10" t="s">
        <v>126</v>
      </c>
      <c r="Y839" s="10" t="s">
        <v>190</v>
      </c>
      <c r="Z839" s="10" t="s">
        <v>191</v>
      </c>
      <c r="AA839" s="10" t="s">
        <v>1793</v>
      </c>
      <c r="AB839" s="10" t="s">
        <v>1794</v>
      </c>
      <c r="AC839" s="10" t="s">
        <v>1795</v>
      </c>
      <c r="AD839" s="10" t="s">
        <v>132</v>
      </c>
      <c r="AE839" s="10" t="s">
        <v>133</v>
      </c>
      <c r="AF839" s="10" t="s">
        <v>100</v>
      </c>
      <c r="AG839" s="10" t="s">
        <v>102</v>
      </c>
      <c r="AH839" s="10" t="s">
        <v>102</v>
      </c>
      <c r="AI839" s="10" t="s">
        <v>134</v>
      </c>
      <c r="AJ839" s="10" t="s">
        <v>135</v>
      </c>
      <c r="AK839" s="10"/>
      <c r="AL839" s="10"/>
      <c r="AM839" s="10" t="s">
        <v>136</v>
      </c>
      <c r="AN839" s="10" t="s">
        <v>106</v>
      </c>
      <c r="AO839" s="10">
        <v>45.226089000000002</v>
      </c>
      <c r="AP839" s="10">
        <v>-111.872322</v>
      </c>
      <c r="AQ839" s="10">
        <v>2235</v>
      </c>
      <c r="AR839" s="10"/>
      <c r="AS839" s="10">
        <v>1992</v>
      </c>
      <c r="AT839" s="10">
        <v>137.5</v>
      </c>
      <c r="AU839" s="10">
        <v>19.5</v>
      </c>
      <c r="AV839" s="10"/>
      <c r="AW839" s="10" t="s">
        <v>108</v>
      </c>
      <c r="AX839" s="10">
        <v>8.4</v>
      </c>
      <c r="AY839" s="10" t="s">
        <v>103</v>
      </c>
      <c r="AZ839" s="10" t="s">
        <v>109</v>
      </c>
      <c r="BA839" s="10" t="s">
        <v>138</v>
      </c>
      <c r="BB839" s="10">
        <v>16</v>
      </c>
      <c r="BC839" s="10">
        <v>20</v>
      </c>
      <c r="BD839" s="10">
        <v>0.5</v>
      </c>
      <c r="BE839" s="10" t="s">
        <v>139</v>
      </c>
      <c r="BF839" s="10">
        <v>7</v>
      </c>
      <c r="BG839" s="10">
        <v>0.4</v>
      </c>
      <c r="BH839" s="10"/>
      <c r="BI839" s="10"/>
      <c r="BJ839" s="10"/>
      <c r="BK839" s="10"/>
      <c r="BL839" s="10"/>
      <c r="BM839" s="10"/>
      <c r="BN839" s="10"/>
      <c r="BO839" s="10"/>
      <c r="BP839" s="10">
        <v>16</v>
      </c>
      <c r="BQ839" s="10"/>
      <c r="BR839" s="10" t="s">
        <v>69</v>
      </c>
      <c r="BS839" s="10" t="s">
        <v>1796</v>
      </c>
      <c r="BT839" s="10"/>
      <c r="BU839" s="10" t="s">
        <v>1797</v>
      </c>
      <c r="BV839">
        <v>28.5</v>
      </c>
      <c r="BW839">
        <v>0.4</v>
      </c>
      <c r="BX839">
        <v>18</v>
      </c>
      <c r="BY839">
        <v>29.3</v>
      </c>
      <c r="BZ839">
        <v>0.3</v>
      </c>
      <c r="CA839">
        <v>17</v>
      </c>
      <c r="CB839" t="s">
        <v>113</v>
      </c>
      <c r="CC839" t="s">
        <v>711</v>
      </c>
    </row>
    <row r="840" spans="1:81" x14ac:dyDescent="0.25">
      <c r="A840" s="10" t="s">
        <v>1788</v>
      </c>
      <c r="B840">
        <v>839</v>
      </c>
      <c r="C840" s="10">
        <v>59</v>
      </c>
      <c r="D840" s="10">
        <v>55</v>
      </c>
      <c r="E840" s="10">
        <v>180</v>
      </c>
      <c r="F840" s="10">
        <v>193</v>
      </c>
      <c r="G840" s="10">
        <v>482</v>
      </c>
      <c r="H840" s="10">
        <v>729</v>
      </c>
      <c r="I840" s="10" t="s">
        <v>118</v>
      </c>
      <c r="J840" s="10" t="s">
        <v>197</v>
      </c>
      <c r="K840" s="10"/>
      <c r="L840" s="10"/>
      <c r="M840" s="10" t="s">
        <v>85</v>
      </c>
      <c r="N840" s="10"/>
      <c r="O840" s="10" t="s">
        <v>14</v>
      </c>
      <c r="P840" s="10" t="s">
        <v>1789</v>
      </c>
      <c r="Q840" s="10" t="s">
        <v>1790</v>
      </c>
      <c r="R840" s="10">
        <v>1996</v>
      </c>
      <c r="S840" s="10" t="s">
        <v>1736</v>
      </c>
      <c r="T840" s="10"/>
      <c r="U840" s="10" t="s">
        <v>1791</v>
      </c>
      <c r="V840" s="10" t="s">
        <v>1792</v>
      </c>
      <c r="W840" s="10" t="s">
        <v>91</v>
      </c>
      <c r="X840" s="10" t="s">
        <v>126</v>
      </c>
      <c r="Y840" s="10" t="s">
        <v>190</v>
      </c>
      <c r="Z840" s="10" t="s">
        <v>191</v>
      </c>
      <c r="AA840" s="10" t="s">
        <v>1793</v>
      </c>
      <c r="AB840" s="10" t="s">
        <v>1794</v>
      </c>
      <c r="AC840" s="10" t="s">
        <v>1795</v>
      </c>
      <c r="AD840" s="10" t="s">
        <v>132</v>
      </c>
      <c r="AE840" s="10" t="s">
        <v>133</v>
      </c>
      <c r="AF840" s="10" t="s">
        <v>100</v>
      </c>
      <c r="AG840" s="10" t="s">
        <v>102</v>
      </c>
      <c r="AH840" s="10" t="s">
        <v>102</v>
      </c>
      <c r="AI840" s="10" t="s">
        <v>134</v>
      </c>
      <c r="AJ840" s="10" t="s">
        <v>135</v>
      </c>
      <c r="AK840" s="10"/>
      <c r="AL840" s="10"/>
      <c r="AM840" s="10" t="s">
        <v>136</v>
      </c>
      <c r="AN840" s="10" t="s">
        <v>106</v>
      </c>
      <c r="AO840" s="10"/>
      <c r="AP840" s="10"/>
      <c r="AQ840" s="10">
        <v>2235</v>
      </c>
      <c r="AR840" s="10"/>
      <c r="AS840" s="10">
        <v>1992</v>
      </c>
      <c r="AT840" s="10">
        <v>133</v>
      </c>
      <c r="AU840" s="10">
        <v>17.3</v>
      </c>
      <c r="AV840" s="10"/>
      <c r="AW840" s="10" t="s">
        <v>108</v>
      </c>
      <c r="AX840" s="10">
        <v>8.4</v>
      </c>
      <c r="AY840" s="10" t="s">
        <v>134</v>
      </c>
      <c r="AZ840" s="10" t="s">
        <v>109</v>
      </c>
      <c r="BA840" s="10" t="s">
        <v>142</v>
      </c>
      <c r="BB840" s="10">
        <v>8.4</v>
      </c>
      <c r="BC840" s="10">
        <v>16</v>
      </c>
      <c r="BD840" s="10">
        <v>0.5</v>
      </c>
      <c r="BE840" s="10" t="s">
        <v>139</v>
      </c>
      <c r="BF840" s="10">
        <v>7</v>
      </c>
      <c r="BG840" s="10"/>
      <c r="BH840" s="10"/>
      <c r="BI840" s="10">
        <v>4</v>
      </c>
      <c r="BJ840" s="10">
        <v>1</v>
      </c>
      <c r="BK840" s="10">
        <v>10</v>
      </c>
      <c r="BL840" s="10"/>
      <c r="BM840" s="10"/>
      <c r="BN840" s="10"/>
      <c r="BO840" s="10"/>
      <c r="BP840" s="10">
        <v>16</v>
      </c>
      <c r="BQ840" s="10"/>
      <c r="BR840" s="10" t="s">
        <v>69</v>
      </c>
      <c r="BS840" s="10" t="s">
        <v>1796</v>
      </c>
      <c r="BT840" s="10"/>
      <c r="BU840" s="10" t="s">
        <v>1797</v>
      </c>
      <c r="BV840">
        <v>25.652229999999999</v>
      </c>
      <c r="BW840">
        <v>1.2095290000000001</v>
      </c>
      <c r="BX840">
        <v>4</v>
      </c>
      <c r="BY840">
        <v>26.91459</v>
      </c>
      <c r="BZ840">
        <v>0.41805310000000001</v>
      </c>
      <c r="CA840">
        <v>4</v>
      </c>
      <c r="CB840" t="s">
        <v>215</v>
      </c>
      <c r="CC840" t="s">
        <v>1999</v>
      </c>
    </row>
    <row r="841" spans="1:81" x14ac:dyDescent="0.25">
      <c r="A841" s="10" t="s">
        <v>1788</v>
      </c>
      <c r="B841">
        <v>840</v>
      </c>
      <c r="C841" s="10">
        <v>59</v>
      </c>
      <c r="D841" s="10">
        <v>55</v>
      </c>
      <c r="E841" s="10">
        <v>180</v>
      </c>
      <c r="F841" s="10">
        <v>193</v>
      </c>
      <c r="G841" s="10">
        <v>482</v>
      </c>
      <c r="H841" s="10">
        <v>730</v>
      </c>
      <c r="I841" s="10" t="s">
        <v>118</v>
      </c>
      <c r="J841" s="10" t="s">
        <v>197</v>
      </c>
      <c r="K841" s="10"/>
      <c r="L841" s="10"/>
      <c r="M841" s="10" t="s">
        <v>85</v>
      </c>
      <c r="N841" s="10"/>
      <c r="O841" s="10" t="s">
        <v>14</v>
      </c>
      <c r="P841" s="10" t="s">
        <v>1789</v>
      </c>
      <c r="Q841" s="10" t="s">
        <v>1790</v>
      </c>
      <c r="R841" s="10">
        <v>1996</v>
      </c>
      <c r="S841" s="10" t="s">
        <v>1736</v>
      </c>
      <c r="T841" s="10"/>
      <c r="U841" s="10" t="s">
        <v>1791</v>
      </c>
      <c r="V841" s="10" t="s">
        <v>1792</v>
      </c>
      <c r="W841" s="10" t="s">
        <v>91</v>
      </c>
      <c r="X841" s="10" t="s">
        <v>126</v>
      </c>
      <c r="Y841" s="10" t="s">
        <v>190</v>
      </c>
      <c r="Z841" s="10" t="s">
        <v>191</v>
      </c>
      <c r="AA841" s="10" t="s">
        <v>1793</v>
      </c>
      <c r="AB841" s="10" t="s">
        <v>1794</v>
      </c>
      <c r="AC841" s="10" t="s">
        <v>1795</v>
      </c>
      <c r="AD841" s="10" t="s">
        <v>132</v>
      </c>
      <c r="AE841" s="10" t="s">
        <v>133</v>
      </c>
      <c r="AF841" s="10" t="s">
        <v>100</v>
      </c>
      <c r="AG841" s="10" t="s">
        <v>102</v>
      </c>
      <c r="AH841" s="10" t="s">
        <v>102</v>
      </c>
      <c r="AI841" s="10" t="s">
        <v>134</v>
      </c>
      <c r="AJ841" s="10" t="s">
        <v>135</v>
      </c>
      <c r="AK841" s="10"/>
      <c r="AL841" s="10"/>
      <c r="AM841" s="10" t="s">
        <v>136</v>
      </c>
      <c r="AN841" s="10" t="s">
        <v>106</v>
      </c>
      <c r="AO841" s="10"/>
      <c r="AP841" s="10"/>
      <c r="AQ841" s="10">
        <v>2235</v>
      </c>
      <c r="AR841" s="10"/>
      <c r="AS841" s="10">
        <v>1992</v>
      </c>
      <c r="AT841" s="10">
        <v>133</v>
      </c>
      <c r="AU841" s="10">
        <v>17.3</v>
      </c>
      <c r="AV841" s="10"/>
      <c r="AW841" s="10" t="s">
        <v>108</v>
      </c>
      <c r="AX841" s="10">
        <v>8.4</v>
      </c>
      <c r="AY841" s="10" t="s">
        <v>103</v>
      </c>
      <c r="AZ841" s="10" t="s">
        <v>109</v>
      </c>
      <c r="BA841" s="10" t="s">
        <v>142</v>
      </c>
      <c r="BB841" s="10">
        <v>16</v>
      </c>
      <c r="BC841" s="10">
        <v>20</v>
      </c>
      <c r="BD841" s="10">
        <v>0.5</v>
      </c>
      <c r="BE841" s="10" t="s">
        <v>139</v>
      </c>
      <c r="BF841" s="10">
        <v>7</v>
      </c>
      <c r="BG841" s="10"/>
      <c r="BH841" s="10"/>
      <c r="BI841" s="10">
        <v>3</v>
      </c>
      <c r="BJ841" s="10">
        <v>1</v>
      </c>
      <c r="BK841" s="10">
        <v>10</v>
      </c>
      <c r="BL841" s="10"/>
      <c r="BM841" s="10"/>
      <c r="BN841" s="10"/>
      <c r="BO841" s="10"/>
      <c r="BP841" s="10">
        <v>16</v>
      </c>
      <c r="BQ841" s="10"/>
      <c r="BR841" s="10" t="s">
        <v>69</v>
      </c>
      <c r="BS841" s="10" t="s">
        <v>1796</v>
      </c>
      <c r="BT841" s="10"/>
      <c r="BU841" s="10" t="s">
        <v>1797</v>
      </c>
      <c r="BV841">
        <v>26.91459</v>
      </c>
      <c r="BW841">
        <v>0.41805310000000001</v>
      </c>
      <c r="BX841">
        <v>4</v>
      </c>
      <c r="BY841">
        <v>27.300129999999999</v>
      </c>
      <c r="BZ841">
        <v>4.1433529999999998E-3</v>
      </c>
      <c r="CA841">
        <v>3</v>
      </c>
      <c r="CB841" t="s">
        <v>215</v>
      </c>
      <c r="CC841" t="s">
        <v>1999</v>
      </c>
    </row>
    <row r="842" spans="1:81" x14ac:dyDescent="0.25">
      <c r="A842" s="10" t="s">
        <v>1778</v>
      </c>
      <c r="B842">
        <v>841</v>
      </c>
      <c r="C842" s="10">
        <v>56</v>
      </c>
      <c r="D842" s="10">
        <v>53</v>
      </c>
      <c r="E842" s="10">
        <v>181</v>
      </c>
      <c r="F842" s="10">
        <v>194</v>
      </c>
      <c r="G842" s="10">
        <v>483</v>
      </c>
      <c r="H842" s="10">
        <v>731</v>
      </c>
      <c r="I842" s="10" t="s">
        <v>118</v>
      </c>
      <c r="J842" s="10" t="s">
        <v>197</v>
      </c>
      <c r="K842" s="10"/>
      <c r="L842" s="10"/>
      <c r="M842" s="10" t="s">
        <v>85</v>
      </c>
      <c r="N842" s="10"/>
      <c r="O842" s="10" t="s">
        <v>14</v>
      </c>
      <c r="P842" s="10" t="s">
        <v>1798</v>
      </c>
      <c r="Q842" s="10" t="s">
        <v>1799</v>
      </c>
      <c r="R842" s="10">
        <v>2015</v>
      </c>
      <c r="S842" s="10" t="s">
        <v>146</v>
      </c>
      <c r="T842" s="10"/>
      <c r="U842" s="10" t="s">
        <v>1800</v>
      </c>
      <c r="V842" s="10" t="s">
        <v>1801</v>
      </c>
      <c r="W842" s="10" t="s">
        <v>91</v>
      </c>
      <c r="X842" s="10" t="s">
        <v>126</v>
      </c>
      <c r="Y842" s="10" t="s">
        <v>1802</v>
      </c>
      <c r="Z842" s="10" t="s">
        <v>1803</v>
      </c>
      <c r="AA842" s="10" t="s">
        <v>1804</v>
      </c>
      <c r="AB842" s="10" t="s">
        <v>1805</v>
      </c>
      <c r="AC842" s="10" t="s">
        <v>1806</v>
      </c>
      <c r="AD842" s="10" t="s">
        <v>132</v>
      </c>
      <c r="AE842" s="10" t="s">
        <v>133</v>
      </c>
      <c r="AF842" s="10" t="s">
        <v>100</v>
      </c>
      <c r="AG842" s="10" t="s">
        <v>102</v>
      </c>
      <c r="AH842" s="10" t="s">
        <v>102</v>
      </c>
      <c r="AI842" s="10" t="s">
        <v>134</v>
      </c>
      <c r="AJ842" s="10" t="s">
        <v>135</v>
      </c>
      <c r="AK842" s="10"/>
      <c r="AL842" s="10"/>
      <c r="AM842" s="10" t="s">
        <v>136</v>
      </c>
      <c r="AN842" s="10" t="s">
        <v>106</v>
      </c>
      <c r="AO842" s="10"/>
      <c r="AP842" s="10"/>
      <c r="AQ842" s="10"/>
      <c r="AR842" s="10"/>
      <c r="AS842" s="10"/>
      <c r="AT842" s="10">
        <v>4.75</v>
      </c>
      <c r="AU842" s="10">
        <v>7.7999999999999999E-5</v>
      </c>
      <c r="AV842" s="10">
        <f>(7+10)/2+7</f>
        <v>15.5</v>
      </c>
      <c r="AW842" s="10" t="s">
        <v>108</v>
      </c>
      <c r="AX842" s="10">
        <v>25</v>
      </c>
      <c r="AY842" s="10" t="s">
        <v>103</v>
      </c>
      <c r="AZ842" s="10" t="s">
        <v>109</v>
      </c>
      <c r="BA842" s="10" t="s">
        <v>138</v>
      </c>
      <c r="BB842" s="10">
        <v>13</v>
      </c>
      <c r="BC842" s="10">
        <v>15</v>
      </c>
      <c r="BD842" s="10">
        <v>0.1</v>
      </c>
      <c r="BE842" s="10" t="s">
        <v>139</v>
      </c>
      <c r="BF842" s="10">
        <v>7</v>
      </c>
      <c r="BG842" s="10">
        <v>0.3</v>
      </c>
      <c r="BH842" s="10"/>
      <c r="BI842" s="10"/>
      <c r="BJ842" s="10"/>
      <c r="BK842" s="10"/>
      <c r="BL842" s="10"/>
      <c r="BM842" s="10"/>
      <c r="BN842" s="10">
        <v>33</v>
      </c>
      <c r="BO842" s="10">
        <v>8.25</v>
      </c>
      <c r="BP842" s="10">
        <v>12</v>
      </c>
      <c r="BQ842" s="10"/>
      <c r="BR842" s="10" t="s">
        <v>449</v>
      </c>
      <c r="BS842" s="10"/>
      <c r="BT842" s="10"/>
      <c r="BU842" s="10" t="s">
        <v>1807</v>
      </c>
      <c r="BV842">
        <v>39.93</v>
      </c>
      <c r="BW842">
        <v>0.72124891700000004</v>
      </c>
      <c r="BX842">
        <v>18</v>
      </c>
      <c r="BY842">
        <v>40.92</v>
      </c>
      <c r="BZ842">
        <v>0.50911688200000005</v>
      </c>
      <c r="CA842">
        <v>18</v>
      </c>
      <c r="CB842" t="s">
        <v>113</v>
      </c>
      <c r="CC842" t="s">
        <v>1787</v>
      </c>
    </row>
    <row r="843" spans="1:81" x14ac:dyDescent="0.25">
      <c r="A843" s="10" t="s">
        <v>1778</v>
      </c>
      <c r="B843">
        <v>842</v>
      </c>
      <c r="C843" s="10">
        <v>56</v>
      </c>
      <c r="D843" s="10">
        <v>53</v>
      </c>
      <c r="E843" s="10">
        <v>181</v>
      </c>
      <c r="F843" s="10">
        <v>194</v>
      </c>
      <c r="G843" s="10">
        <v>483</v>
      </c>
      <c r="H843" s="10">
        <v>732</v>
      </c>
      <c r="I843" s="10" t="s">
        <v>118</v>
      </c>
      <c r="J843" s="10" t="s">
        <v>197</v>
      </c>
      <c r="K843" s="10"/>
      <c r="L843" s="10"/>
      <c r="M843" s="10" t="s">
        <v>85</v>
      </c>
      <c r="N843" s="10"/>
      <c r="O843" s="10" t="s">
        <v>14</v>
      </c>
      <c r="P843" s="10" t="s">
        <v>1798</v>
      </c>
      <c r="Q843" s="10" t="s">
        <v>1799</v>
      </c>
      <c r="R843" s="10">
        <v>2015</v>
      </c>
      <c r="S843" s="10" t="s">
        <v>146</v>
      </c>
      <c r="T843" s="10"/>
      <c r="U843" s="10" t="s">
        <v>1800</v>
      </c>
      <c r="V843" s="10" t="s">
        <v>1801</v>
      </c>
      <c r="W843" s="10" t="s">
        <v>91</v>
      </c>
      <c r="X843" s="10" t="s">
        <v>126</v>
      </c>
      <c r="Y843" s="10" t="s">
        <v>1802</v>
      </c>
      <c r="Z843" s="10" t="s">
        <v>1803</v>
      </c>
      <c r="AA843" s="10" t="s">
        <v>1804</v>
      </c>
      <c r="AB843" s="10" t="s">
        <v>1805</v>
      </c>
      <c r="AC843" s="10" t="s">
        <v>1806</v>
      </c>
      <c r="AD843" s="10" t="s">
        <v>132</v>
      </c>
      <c r="AE843" s="10" t="s">
        <v>133</v>
      </c>
      <c r="AF843" s="10" t="s">
        <v>100</v>
      </c>
      <c r="AG843" s="10" t="s">
        <v>102</v>
      </c>
      <c r="AH843" s="10" t="s">
        <v>102</v>
      </c>
      <c r="AI843" s="10" t="s">
        <v>134</v>
      </c>
      <c r="AJ843" s="10" t="s">
        <v>135</v>
      </c>
      <c r="AK843" s="10"/>
      <c r="AL843" s="10"/>
      <c r="AM843" s="10" t="s">
        <v>136</v>
      </c>
      <c r="AN843" s="10" t="s">
        <v>106</v>
      </c>
      <c r="AO843" s="10"/>
      <c r="AP843" s="10"/>
      <c r="AQ843" s="10"/>
      <c r="AR843" s="10"/>
      <c r="AS843" s="10"/>
      <c r="AT843" s="10">
        <v>4.75</v>
      </c>
      <c r="AU843" s="10">
        <v>7.7999999999999999E-5</v>
      </c>
      <c r="AV843" s="10">
        <f>(7+10)/2+7</f>
        <v>15.5</v>
      </c>
      <c r="AW843" s="10" t="s">
        <v>108</v>
      </c>
      <c r="AX843" s="10">
        <v>25</v>
      </c>
      <c r="AY843" s="10" t="s">
        <v>103</v>
      </c>
      <c r="AZ843" s="10" t="s">
        <v>109</v>
      </c>
      <c r="BA843" s="10" t="s">
        <v>138</v>
      </c>
      <c r="BB843" s="10">
        <v>15</v>
      </c>
      <c r="BC843" s="10">
        <v>20</v>
      </c>
      <c r="BD843" s="10">
        <v>0.1</v>
      </c>
      <c r="BE843" s="10" t="s">
        <v>139</v>
      </c>
      <c r="BF843" s="10">
        <v>7</v>
      </c>
      <c r="BG843" s="10">
        <v>0.3</v>
      </c>
      <c r="BH843" s="10"/>
      <c r="BI843" s="10"/>
      <c r="BJ843" s="10"/>
      <c r="BK843" s="10"/>
      <c r="BL843" s="10"/>
      <c r="BM843" s="10"/>
      <c r="BN843" s="10">
        <v>33</v>
      </c>
      <c r="BO843" s="10">
        <v>8.25</v>
      </c>
      <c r="BP843" s="10">
        <v>12</v>
      </c>
      <c r="BQ843" s="10"/>
      <c r="BR843" s="10" t="s">
        <v>449</v>
      </c>
      <c r="BS843" s="10"/>
      <c r="BT843" s="10"/>
      <c r="BU843" s="10" t="s">
        <v>1807</v>
      </c>
      <c r="BV843">
        <v>40.92</v>
      </c>
      <c r="BW843">
        <v>0.50911688200000005</v>
      </c>
      <c r="BX843">
        <v>18</v>
      </c>
      <c r="BY843">
        <v>40.53</v>
      </c>
      <c r="BZ843">
        <v>0.50911688200000005</v>
      </c>
      <c r="CA843">
        <v>18</v>
      </c>
      <c r="CB843" t="s">
        <v>113</v>
      </c>
      <c r="CC843" t="s">
        <v>1787</v>
      </c>
    </row>
    <row r="844" spans="1:81" x14ac:dyDescent="0.25">
      <c r="A844" s="10" t="s">
        <v>1788</v>
      </c>
      <c r="B844">
        <v>843</v>
      </c>
      <c r="C844" s="10">
        <v>56</v>
      </c>
      <c r="D844" s="10">
        <v>53</v>
      </c>
      <c r="E844" s="10">
        <v>181</v>
      </c>
      <c r="F844" s="10">
        <v>194</v>
      </c>
      <c r="G844" s="10">
        <v>483</v>
      </c>
      <c r="H844" s="10">
        <v>733</v>
      </c>
      <c r="I844" s="10" t="s">
        <v>118</v>
      </c>
      <c r="J844" s="10" t="s">
        <v>197</v>
      </c>
      <c r="K844" s="10"/>
      <c r="L844" s="10"/>
      <c r="M844" s="10" t="s">
        <v>85</v>
      </c>
      <c r="N844" s="10"/>
      <c r="O844" s="10" t="s">
        <v>14</v>
      </c>
      <c r="P844" s="10" t="s">
        <v>1798</v>
      </c>
      <c r="Q844" s="10" t="s">
        <v>1799</v>
      </c>
      <c r="R844" s="10">
        <v>2015</v>
      </c>
      <c r="S844" s="10" t="s">
        <v>146</v>
      </c>
      <c r="T844" s="10"/>
      <c r="U844" s="10" t="s">
        <v>1800</v>
      </c>
      <c r="V844" s="10" t="s">
        <v>1801</v>
      </c>
      <c r="W844" s="10" t="s">
        <v>91</v>
      </c>
      <c r="X844" s="10" t="s">
        <v>126</v>
      </c>
      <c r="Y844" s="10" t="s">
        <v>1802</v>
      </c>
      <c r="Z844" s="10" t="s">
        <v>1803</v>
      </c>
      <c r="AA844" s="10" t="s">
        <v>1804</v>
      </c>
      <c r="AB844" s="10" t="s">
        <v>1805</v>
      </c>
      <c r="AC844" s="10" t="s">
        <v>1806</v>
      </c>
      <c r="AD844" s="10" t="s">
        <v>132</v>
      </c>
      <c r="AE844" s="10" t="s">
        <v>133</v>
      </c>
      <c r="AF844" s="10" t="s">
        <v>100</v>
      </c>
      <c r="AG844" s="10" t="s">
        <v>102</v>
      </c>
      <c r="AH844" s="10" t="s">
        <v>102</v>
      </c>
      <c r="AI844" s="10" t="s">
        <v>134</v>
      </c>
      <c r="AJ844" s="10" t="s">
        <v>135</v>
      </c>
      <c r="AK844" s="10"/>
      <c r="AL844" s="10"/>
      <c r="AM844" s="10" t="s">
        <v>136</v>
      </c>
      <c r="AN844" s="10" t="s">
        <v>106</v>
      </c>
      <c r="AO844" s="10"/>
      <c r="AP844" s="10"/>
      <c r="AQ844" s="10"/>
      <c r="AR844" s="10"/>
      <c r="AS844" s="10"/>
      <c r="AT844" s="10">
        <v>4.75</v>
      </c>
      <c r="AU844" s="10">
        <v>7.7999999999999999E-5</v>
      </c>
      <c r="AV844" s="10">
        <f>(7+10)/2+7</f>
        <v>15.5</v>
      </c>
      <c r="AW844" s="10" t="s">
        <v>108</v>
      </c>
      <c r="AX844" s="10">
        <v>25</v>
      </c>
      <c r="AY844" s="10" t="s">
        <v>134</v>
      </c>
      <c r="AZ844" s="10" t="s">
        <v>109</v>
      </c>
      <c r="BA844" s="10" t="s">
        <v>138</v>
      </c>
      <c r="BB844" s="10">
        <v>20</v>
      </c>
      <c r="BC844" s="10">
        <v>25</v>
      </c>
      <c r="BD844" s="10">
        <v>0.1</v>
      </c>
      <c r="BE844" s="10" t="s">
        <v>139</v>
      </c>
      <c r="BF844" s="10">
        <v>7</v>
      </c>
      <c r="BG844" s="10">
        <v>0.3</v>
      </c>
      <c r="BH844" s="10"/>
      <c r="BI844" s="10"/>
      <c r="BJ844" s="10"/>
      <c r="BK844" s="10"/>
      <c r="BL844" s="10"/>
      <c r="BM844" s="10"/>
      <c r="BN844" s="10">
        <v>33</v>
      </c>
      <c r="BO844" s="10">
        <v>8.25</v>
      </c>
      <c r="BP844" s="10">
        <v>12</v>
      </c>
      <c r="BQ844" s="10"/>
      <c r="BR844" s="10" t="s">
        <v>449</v>
      </c>
      <c r="BS844" s="10" t="s">
        <v>515</v>
      </c>
      <c r="BT844" s="10"/>
      <c r="BU844" s="10" t="s">
        <v>1808</v>
      </c>
      <c r="BV844">
        <v>40.53</v>
      </c>
      <c r="BW844">
        <v>0.50911688200000005</v>
      </c>
      <c r="BX844">
        <v>18</v>
      </c>
      <c r="BY844">
        <v>42.54</v>
      </c>
      <c r="BZ844">
        <v>0.84852813699999996</v>
      </c>
      <c r="CA844">
        <v>18</v>
      </c>
      <c r="CB844" t="s">
        <v>113</v>
      </c>
      <c r="CC844" t="s">
        <v>1787</v>
      </c>
    </row>
    <row r="845" spans="1:81" x14ac:dyDescent="0.25">
      <c r="A845" s="10" t="s">
        <v>1788</v>
      </c>
      <c r="B845">
        <v>844</v>
      </c>
      <c r="C845" s="10">
        <v>56</v>
      </c>
      <c r="D845" s="10">
        <v>53</v>
      </c>
      <c r="E845" s="10">
        <v>181</v>
      </c>
      <c r="F845" s="10">
        <v>194</v>
      </c>
      <c r="G845" s="10">
        <v>483</v>
      </c>
      <c r="H845" s="10">
        <v>734</v>
      </c>
      <c r="I845" s="10" t="s">
        <v>118</v>
      </c>
      <c r="J845" s="10" t="s">
        <v>197</v>
      </c>
      <c r="K845" s="10"/>
      <c r="L845" s="10"/>
      <c r="M845" s="10" t="s">
        <v>85</v>
      </c>
      <c r="N845" s="10"/>
      <c r="O845" s="10" t="s">
        <v>14</v>
      </c>
      <c r="P845" s="10" t="s">
        <v>1798</v>
      </c>
      <c r="Q845" s="10" t="s">
        <v>1799</v>
      </c>
      <c r="R845" s="10">
        <v>2015</v>
      </c>
      <c r="S845" s="10" t="s">
        <v>146</v>
      </c>
      <c r="T845" s="10"/>
      <c r="U845" s="10" t="s">
        <v>1800</v>
      </c>
      <c r="V845" s="10" t="s">
        <v>1801</v>
      </c>
      <c r="W845" s="10" t="s">
        <v>91</v>
      </c>
      <c r="X845" s="10" t="s">
        <v>126</v>
      </c>
      <c r="Y845" s="10" t="s">
        <v>1802</v>
      </c>
      <c r="Z845" s="10" t="s">
        <v>1803</v>
      </c>
      <c r="AA845" s="10" t="s">
        <v>1804</v>
      </c>
      <c r="AB845" s="10" t="s">
        <v>1805</v>
      </c>
      <c r="AC845" s="10" t="s">
        <v>1806</v>
      </c>
      <c r="AD845" s="10" t="s">
        <v>132</v>
      </c>
      <c r="AE845" s="10" t="s">
        <v>133</v>
      </c>
      <c r="AF845" s="10" t="s">
        <v>100</v>
      </c>
      <c r="AG845" s="10" t="s">
        <v>102</v>
      </c>
      <c r="AH845" s="10" t="s">
        <v>102</v>
      </c>
      <c r="AI845" s="10" t="s">
        <v>134</v>
      </c>
      <c r="AJ845" s="10" t="s">
        <v>135</v>
      </c>
      <c r="AK845" s="10"/>
      <c r="AL845" s="10"/>
      <c r="AM845" s="10" t="s">
        <v>136</v>
      </c>
      <c r="AN845" s="10" t="s">
        <v>106</v>
      </c>
      <c r="AO845" s="10"/>
      <c r="AP845" s="10"/>
      <c r="AQ845" s="10"/>
      <c r="AR845" s="10"/>
      <c r="AS845" s="10"/>
      <c r="AT845" s="10">
        <v>4.75</v>
      </c>
      <c r="AU845" s="10">
        <v>7.7999999999999999E-5</v>
      </c>
      <c r="AV845" s="10">
        <f>(7+10)/2+7</f>
        <v>15.5</v>
      </c>
      <c r="AW845" s="10" t="s">
        <v>108</v>
      </c>
      <c r="AX845" s="10">
        <v>25</v>
      </c>
      <c r="AY845" s="10" t="s">
        <v>134</v>
      </c>
      <c r="AZ845" s="10" t="s">
        <v>109</v>
      </c>
      <c r="BA845" s="10" t="s">
        <v>138</v>
      </c>
      <c r="BB845" s="10">
        <v>25</v>
      </c>
      <c r="BC845" s="10">
        <v>28</v>
      </c>
      <c r="BD845" s="10">
        <v>0.1</v>
      </c>
      <c r="BE845" s="10" t="s">
        <v>139</v>
      </c>
      <c r="BF845" s="10">
        <v>7</v>
      </c>
      <c r="BG845" s="10">
        <v>0.3</v>
      </c>
      <c r="BH845" s="10"/>
      <c r="BI845" s="10"/>
      <c r="BJ845" s="10"/>
      <c r="BK845" s="10"/>
      <c r="BL845" s="10"/>
      <c r="BM845" s="10"/>
      <c r="BN845" s="10">
        <v>33</v>
      </c>
      <c r="BO845" s="10">
        <v>8.25</v>
      </c>
      <c r="BP845" s="10">
        <v>12</v>
      </c>
      <c r="BQ845" s="10"/>
      <c r="BR845" s="10" t="s">
        <v>449</v>
      </c>
      <c r="BS845" s="10" t="s">
        <v>515</v>
      </c>
      <c r="BT845" s="10"/>
      <c r="BU845" s="10" t="s">
        <v>1808</v>
      </c>
      <c r="BV845">
        <v>42.54</v>
      </c>
      <c r="BW845">
        <v>0.84852813699999996</v>
      </c>
      <c r="BX845">
        <v>18</v>
      </c>
      <c r="BY845">
        <v>42.56</v>
      </c>
      <c r="BZ845">
        <v>1.2727922060000001</v>
      </c>
      <c r="CA845">
        <v>18</v>
      </c>
      <c r="CB845" t="s">
        <v>113</v>
      </c>
      <c r="CC845" t="s">
        <v>1787</v>
      </c>
    </row>
    <row r="846" spans="1:81" ht="15.75" thickBot="1" x14ac:dyDescent="0.3">
      <c r="A846" s="10" t="s">
        <v>1778</v>
      </c>
      <c r="B846">
        <v>845</v>
      </c>
      <c r="C846" s="10">
        <v>56</v>
      </c>
      <c r="D846" s="10">
        <v>53</v>
      </c>
      <c r="E846" s="10">
        <v>181</v>
      </c>
      <c r="F846" s="10">
        <v>194</v>
      </c>
      <c r="G846" s="10">
        <v>183</v>
      </c>
      <c r="H846" s="10">
        <v>735</v>
      </c>
      <c r="I846" s="10" t="s">
        <v>118</v>
      </c>
      <c r="J846" s="10" t="s">
        <v>197</v>
      </c>
      <c r="K846" s="10"/>
      <c r="L846" s="10"/>
      <c r="M846" s="10" t="s">
        <v>85</v>
      </c>
      <c r="N846" s="10"/>
      <c r="O846" s="10" t="s">
        <v>14</v>
      </c>
      <c r="P846" s="10" t="s">
        <v>1798</v>
      </c>
      <c r="Q846" s="10" t="s">
        <v>1799</v>
      </c>
      <c r="R846" s="10">
        <v>2015</v>
      </c>
      <c r="S846" s="10" t="s">
        <v>146</v>
      </c>
      <c r="T846" s="10"/>
      <c r="U846" s="10" t="s">
        <v>1800</v>
      </c>
      <c r="V846" s="10" t="s">
        <v>1801</v>
      </c>
      <c r="W846" s="10" t="s">
        <v>91</v>
      </c>
      <c r="X846" s="10" t="s">
        <v>126</v>
      </c>
      <c r="Y846" s="10" t="s">
        <v>1802</v>
      </c>
      <c r="Z846" s="10" t="s">
        <v>1803</v>
      </c>
      <c r="AA846" s="10" t="s">
        <v>1804</v>
      </c>
      <c r="AB846" s="10" t="s">
        <v>1805</v>
      </c>
      <c r="AC846" s="10" t="s">
        <v>1806</v>
      </c>
      <c r="AD846" s="10" t="s">
        <v>132</v>
      </c>
      <c r="AE846" s="10" t="s">
        <v>133</v>
      </c>
      <c r="AF846" s="10" t="s">
        <v>100</v>
      </c>
      <c r="AG846" s="10" t="s">
        <v>102</v>
      </c>
      <c r="AH846" s="10" t="s">
        <v>102</v>
      </c>
      <c r="AI846" s="10" t="s">
        <v>134</v>
      </c>
      <c r="AJ846" s="10" t="s">
        <v>135</v>
      </c>
      <c r="AK846" s="10"/>
      <c r="AL846" s="10"/>
      <c r="AM846" s="10" t="s">
        <v>136</v>
      </c>
      <c r="AN846" s="10" t="s">
        <v>106</v>
      </c>
      <c r="AO846" s="10"/>
      <c r="AP846" s="10"/>
      <c r="AQ846" s="10"/>
      <c r="AR846" s="10"/>
      <c r="AS846" s="10"/>
      <c r="AT846" s="10">
        <v>4.75</v>
      </c>
      <c r="AU846" s="10">
        <v>7.7999999999999999E-5</v>
      </c>
      <c r="AV846" s="10">
        <f>(7+10)/2+7</f>
        <v>15.5</v>
      </c>
      <c r="AW846" s="10" t="s">
        <v>108</v>
      </c>
      <c r="AX846" s="10">
        <v>25</v>
      </c>
      <c r="AY846" s="10" t="s">
        <v>103</v>
      </c>
      <c r="AZ846" s="10" t="s">
        <v>109</v>
      </c>
      <c r="BA846" s="10" t="s">
        <v>138</v>
      </c>
      <c r="BB846" s="10">
        <v>28</v>
      </c>
      <c r="BC846" s="10">
        <v>32</v>
      </c>
      <c r="BD846" s="10">
        <v>0.1</v>
      </c>
      <c r="BE846" s="10" t="s">
        <v>139</v>
      </c>
      <c r="BF846" s="10">
        <v>7</v>
      </c>
      <c r="BG846" s="10">
        <v>0.3</v>
      </c>
      <c r="BH846" s="10"/>
      <c r="BI846" s="10"/>
      <c r="BJ846" s="10"/>
      <c r="BK846" s="10"/>
      <c r="BL846" s="10"/>
      <c r="BM846" s="10"/>
      <c r="BN846" s="10">
        <v>33</v>
      </c>
      <c r="BO846" s="10">
        <v>8.25</v>
      </c>
      <c r="BP846" s="10">
        <v>12</v>
      </c>
      <c r="BQ846" s="10"/>
      <c r="BR846" s="10" t="s">
        <v>449</v>
      </c>
      <c r="BS846" s="10"/>
      <c r="BT846" s="10"/>
      <c r="BU846" s="10" t="s">
        <v>1807</v>
      </c>
      <c r="BV846">
        <v>42.56</v>
      </c>
      <c r="BW846">
        <v>1.2727922060000001</v>
      </c>
      <c r="BX846">
        <v>18</v>
      </c>
      <c r="BY846">
        <v>42.82</v>
      </c>
      <c r="BZ846">
        <v>1.654629868</v>
      </c>
      <c r="CA846">
        <v>18</v>
      </c>
      <c r="CB846" t="s">
        <v>113</v>
      </c>
      <c r="CC846" t="s">
        <v>1787</v>
      </c>
    </row>
    <row r="847" spans="1:81" ht="15.75" thickBot="1" x14ac:dyDescent="0.3">
      <c r="A847" s="10" t="s">
        <v>1778</v>
      </c>
      <c r="B847">
        <v>846</v>
      </c>
      <c r="C847" s="10">
        <v>53</v>
      </c>
      <c r="D847" s="10">
        <v>50</v>
      </c>
      <c r="E847" s="10">
        <v>182</v>
      </c>
      <c r="F847" s="10">
        <v>195</v>
      </c>
      <c r="G847" s="10">
        <v>484</v>
      </c>
      <c r="H847" s="10">
        <v>736</v>
      </c>
      <c r="I847" s="10" t="s">
        <v>118</v>
      </c>
      <c r="J847" s="10" t="s">
        <v>197</v>
      </c>
      <c r="K847" s="10"/>
      <c r="L847" s="10"/>
      <c r="M847" s="10" t="s">
        <v>85</v>
      </c>
      <c r="N847" s="10"/>
      <c r="O847" s="10" t="s">
        <v>14</v>
      </c>
      <c r="P847" s="10" t="s">
        <v>1809</v>
      </c>
      <c r="Q847" s="10" t="s">
        <v>1810</v>
      </c>
      <c r="R847" s="10">
        <v>2010</v>
      </c>
      <c r="S847" s="10" t="s">
        <v>146</v>
      </c>
      <c r="T847" s="10"/>
      <c r="U847" s="10" t="s">
        <v>1811</v>
      </c>
      <c r="V847" s="10" t="s">
        <v>1812</v>
      </c>
      <c r="W847" s="10" t="s">
        <v>170</v>
      </c>
      <c r="X847" s="10" t="s">
        <v>965</v>
      </c>
      <c r="Y847" s="10" t="s">
        <v>966</v>
      </c>
      <c r="Z847" s="10" t="s">
        <v>967</v>
      </c>
      <c r="AA847" s="10" t="s">
        <v>968</v>
      </c>
      <c r="AB847" s="10" t="s">
        <v>969</v>
      </c>
      <c r="AC847" s="10" t="s">
        <v>970</v>
      </c>
      <c r="AD847" s="10" t="s">
        <v>132</v>
      </c>
      <c r="AE847" s="10" t="s">
        <v>316</v>
      </c>
      <c r="AF847" s="10" t="s">
        <v>260</v>
      </c>
      <c r="AG847" s="10" t="s">
        <v>102</v>
      </c>
      <c r="AH847" s="10" t="s">
        <v>102</v>
      </c>
      <c r="AI847" s="10" t="s">
        <v>134</v>
      </c>
      <c r="AJ847" s="10" t="s">
        <v>135</v>
      </c>
      <c r="AK847" s="10"/>
      <c r="AL847" s="10"/>
      <c r="AM847" s="10" t="s">
        <v>136</v>
      </c>
      <c r="AN847" s="10" t="s">
        <v>106</v>
      </c>
      <c r="AO847" s="10"/>
      <c r="AP847" s="10"/>
      <c r="AQ847" s="10"/>
      <c r="AR847" s="10"/>
      <c r="AS847" s="10">
        <v>2008</v>
      </c>
      <c r="AT847" s="10">
        <v>54.9</v>
      </c>
      <c r="AU847" s="10">
        <v>1.18</v>
      </c>
      <c r="AV847" s="10"/>
      <c r="AW847" s="10" t="s">
        <v>108</v>
      </c>
      <c r="AX847" s="10">
        <v>19</v>
      </c>
      <c r="AY847" s="10" t="s">
        <v>103</v>
      </c>
      <c r="AZ847" s="10" t="s">
        <v>109</v>
      </c>
      <c r="BA847" s="10" t="s">
        <v>110</v>
      </c>
      <c r="BB847" s="10">
        <v>15</v>
      </c>
      <c r="BC847" s="10">
        <v>20</v>
      </c>
      <c r="BD847" s="10"/>
      <c r="BE847" s="10" t="s">
        <v>139</v>
      </c>
      <c r="BF847" s="10">
        <v>30</v>
      </c>
      <c r="BG847" s="10">
        <v>0.5</v>
      </c>
      <c r="BH847" s="16"/>
      <c r="BI847" s="10"/>
      <c r="BJ847" s="10"/>
      <c r="BK847" s="10"/>
      <c r="BL847" s="10"/>
      <c r="BM847" s="10">
        <v>5</v>
      </c>
      <c r="BN847" s="10">
        <v>40</v>
      </c>
      <c r="BO847" s="10"/>
      <c r="BP847" s="10">
        <v>12</v>
      </c>
      <c r="BQ847" s="10"/>
      <c r="BR847" s="10" t="s">
        <v>449</v>
      </c>
      <c r="BS847" s="10"/>
      <c r="BT847" s="10"/>
      <c r="BU847" s="10" t="s">
        <v>1813</v>
      </c>
      <c r="BV847">
        <v>35.65</v>
      </c>
      <c r="BW847">
        <v>0.78</v>
      </c>
      <c r="BX847">
        <v>30</v>
      </c>
      <c r="BY847">
        <v>38.130000000000003</v>
      </c>
      <c r="BZ847">
        <v>0.56000000000000005</v>
      </c>
      <c r="CA847">
        <v>30</v>
      </c>
      <c r="CB847" t="s">
        <v>113</v>
      </c>
      <c r="CC847" t="s">
        <v>1814</v>
      </c>
    </row>
    <row r="848" spans="1:81" x14ac:dyDescent="0.25">
      <c r="A848" s="10" t="s">
        <v>1778</v>
      </c>
      <c r="B848">
        <v>847</v>
      </c>
      <c r="C848" s="10">
        <v>53</v>
      </c>
      <c r="D848" s="10">
        <v>50</v>
      </c>
      <c r="E848" s="10">
        <v>182</v>
      </c>
      <c r="F848" s="10">
        <v>195</v>
      </c>
      <c r="G848" s="10">
        <v>484</v>
      </c>
      <c r="H848" s="10">
        <v>737</v>
      </c>
      <c r="I848" s="10" t="s">
        <v>118</v>
      </c>
      <c r="J848" s="10" t="s">
        <v>197</v>
      </c>
      <c r="K848" s="10"/>
      <c r="L848" s="3"/>
      <c r="M848" s="10" t="s">
        <v>85</v>
      </c>
      <c r="N848" s="10"/>
      <c r="O848" s="10" t="s">
        <v>14</v>
      </c>
      <c r="P848" s="10" t="s">
        <v>1809</v>
      </c>
      <c r="Q848" s="10" t="s">
        <v>1810</v>
      </c>
      <c r="R848" s="10">
        <v>2010</v>
      </c>
      <c r="S848" s="10" t="s">
        <v>146</v>
      </c>
      <c r="T848" s="10"/>
      <c r="U848" s="10" t="s">
        <v>1811</v>
      </c>
      <c r="V848" s="10" t="s">
        <v>1812</v>
      </c>
      <c r="W848" s="10" t="s">
        <v>170</v>
      </c>
      <c r="X848" s="10" t="s">
        <v>965</v>
      </c>
      <c r="Y848" s="10" t="s">
        <v>966</v>
      </c>
      <c r="Z848" s="10" t="s">
        <v>967</v>
      </c>
      <c r="AA848" s="10" t="s">
        <v>968</v>
      </c>
      <c r="AB848" s="10" t="s">
        <v>969</v>
      </c>
      <c r="AC848" s="10" t="s">
        <v>970</v>
      </c>
      <c r="AD848" s="10" t="s">
        <v>132</v>
      </c>
      <c r="AE848" s="10" t="s">
        <v>316</v>
      </c>
      <c r="AF848" s="10" t="s">
        <v>260</v>
      </c>
      <c r="AG848" s="10" t="s">
        <v>102</v>
      </c>
      <c r="AH848" s="10" t="s">
        <v>102</v>
      </c>
      <c r="AI848" s="10" t="s">
        <v>134</v>
      </c>
      <c r="AJ848" s="10" t="s">
        <v>135</v>
      </c>
      <c r="AK848" s="10"/>
      <c r="AL848" s="10"/>
      <c r="AM848" s="10" t="s">
        <v>136</v>
      </c>
      <c r="AN848" s="10" t="s">
        <v>106</v>
      </c>
      <c r="AO848" s="10"/>
      <c r="AP848" s="10"/>
      <c r="AQ848" s="10"/>
      <c r="AR848" s="10"/>
      <c r="AS848" s="10">
        <v>2008</v>
      </c>
      <c r="AT848" s="10">
        <v>54.9</v>
      </c>
      <c r="AU848" s="10">
        <v>1.18</v>
      </c>
      <c r="AV848" s="10"/>
      <c r="AW848" s="10" t="s">
        <v>108</v>
      </c>
      <c r="AX848" s="10">
        <v>19</v>
      </c>
      <c r="AY848" s="10" t="s">
        <v>103</v>
      </c>
      <c r="AZ848" s="10" t="s">
        <v>109</v>
      </c>
      <c r="BA848" s="10" t="s">
        <v>110</v>
      </c>
      <c r="BB848" s="10">
        <v>20</v>
      </c>
      <c r="BC848" s="10">
        <v>25</v>
      </c>
      <c r="BD848" s="10"/>
      <c r="BE848" s="10" t="s">
        <v>139</v>
      </c>
      <c r="BF848" s="10">
        <v>30</v>
      </c>
      <c r="BG848" s="10">
        <v>0.5</v>
      </c>
      <c r="BH848" s="11"/>
      <c r="BI848" s="10"/>
      <c r="BJ848" s="10"/>
      <c r="BK848" s="10"/>
      <c r="BL848" s="10"/>
      <c r="BM848" s="10">
        <v>5</v>
      </c>
      <c r="BN848" s="10">
        <v>40</v>
      </c>
      <c r="BO848" s="10"/>
      <c r="BP848" s="10">
        <v>12</v>
      </c>
      <c r="BQ848" s="10"/>
      <c r="BR848" s="10" t="s">
        <v>449</v>
      </c>
      <c r="BS848" s="10"/>
      <c r="BT848" s="10"/>
      <c r="BU848" s="10" t="s">
        <v>1813</v>
      </c>
      <c r="BV848">
        <v>38.130000000000003</v>
      </c>
      <c r="BW848">
        <v>0.56000000000000005</v>
      </c>
      <c r="BX848">
        <v>30</v>
      </c>
      <c r="BY848">
        <v>39.909999999999997</v>
      </c>
      <c r="BZ848">
        <v>0.28000000000000003</v>
      </c>
      <c r="CA848">
        <v>30</v>
      </c>
      <c r="CB848" t="s">
        <v>113</v>
      </c>
      <c r="CC848" t="s">
        <v>1814</v>
      </c>
    </row>
    <row r="849" spans="1:81" x14ac:dyDescent="0.25">
      <c r="A849" s="10" t="s">
        <v>1778</v>
      </c>
      <c r="B849">
        <v>848</v>
      </c>
      <c r="C849" s="10">
        <v>53</v>
      </c>
      <c r="D849" s="10">
        <v>50</v>
      </c>
      <c r="E849" s="10">
        <v>182</v>
      </c>
      <c r="F849" s="10">
        <v>195</v>
      </c>
      <c r="G849" s="10">
        <v>484</v>
      </c>
      <c r="H849" s="10">
        <v>738</v>
      </c>
      <c r="I849" s="10" t="s">
        <v>118</v>
      </c>
      <c r="J849" s="10" t="s">
        <v>197</v>
      </c>
      <c r="K849" s="10"/>
      <c r="L849" s="3"/>
      <c r="M849" s="10" t="s">
        <v>85</v>
      </c>
      <c r="N849" s="10"/>
      <c r="O849" s="10" t="s">
        <v>14</v>
      </c>
      <c r="P849" s="10" t="s">
        <v>1809</v>
      </c>
      <c r="Q849" s="10" t="s">
        <v>1810</v>
      </c>
      <c r="R849" s="10">
        <v>2010</v>
      </c>
      <c r="S849" s="10" t="s">
        <v>146</v>
      </c>
      <c r="T849" s="10"/>
      <c r="U849" s="10" t="s">
        <v>1811</v>
      </c>
      <c r="V849" s="10" t="s">
        <v>1812</v>
      </c>
      <c r="W849" s="10" t="s">
        <v>170</v>
      </c>
      <c r="X849" s="10" t="s">
        <v>965</v>
      </c>
      <c r="Y849" s="10" t="s">
        <v>966</v>
      </c>
      <c r="Z849" s="10" t="s">
        <v>967</v>
      </c>
      <c r="AA849" s="10" t="s">
        <v>968</v>
      </c>
      <c r="AB849" s="10" t="s">
        <v>969</v>
      </c>
      <c r="AC849" s="10" t="s">
        <v>970</v>
      </c>
      <c r="AD849" s="10" t="s">
        <v>132</v>
      </c>
      <c r="AE849" s="10" t="s">
        <v>316</v>
      </c>
      <c r="AF849" s="10" t="s">
        <v>260</v>
      </c>
      <c r="AG849" s="10" t="s">
        <v>102</v>
      </c>
      <c r="AH849" s="10" t="s">
        <v>102</v>
      </c>
      <c r="AI849" s="10" t="s">
        <v>134</v>
      </c>
      <c r="AJ849" s="10" t="s">
        <v>135</v>
      </c>
      <c r="AK849" s="10"/>
      <c r="AL849" s="10"/>
      <c r="AM849" s="10" t="s">
        <v>136</v>
      </c>
      <c r="AN849" s="10" t="s">
        <v>106</v>
      </c>
      <c r="AO849" s="10"/>
      <c r="AP849" s="10"/>
      <c r="AQ849" s="10"/>
      <c r="AR849" s="10"/>
      <c r="AS849" s="10">
        <v>2008</v>
      </c>
      <c r="AT849" s="10">
        <v>54.9</v>
      </c>
      <c r="AU849" s="10">
        <v>1.18</v>
      </c>
      <c r="AV849" s="10"/>
      <c r="AW849" s="10" t="s">
        <v>108</v>
      </c>
      <c r="AX849" s="10">
        <v>19</v>
      </c>
      <c r="AY849" s="10" t="s">
        <v>103</v>
      </c>
      <c r="AZ849" s="10" t="s">
        <v>109</v>
      </c>
      <c r="BA849" s="10" t="s">
        <v>110</v>
      </c>
      <c r="BB849" s="10">
        <v>25</v>
      </c>
      <c r="BC849" s="10">
        <v>30</v>
      </c>
      <c r="BD849" s="10"/>
      <c r="BE849" s="10" t="s">
        <v>139</v>
      </c>
      <c r="BF849" s="10">
        <v>30</v>
      </c>
      <c r="BG849" s="10">
        <v>0.5</v>
      </c>
      <c r="BH849" s="10"/>
      <c r="BI849" s="10"/>
      <c r="BJ849" s="10"/>
      <c r="BK849" s="10"/>
      <c r="BL849" s="10"/>
      <c r="BM849" s="10">
        <v>5</v>
      </c>
      <c r="BN849" s="10">
        <v>40</v>
      </c>
      <c r="BO849" s="10"/>
      <c r="BP849" s="10">
        <v>12</v>
      </c>
      <c r="BQ849" s="10"/>
      <c r="BR849" s="10" t="s">
        <v>449</v>
      </c>
      <c r="BS849" s="10"/>
      <c r="BT849" s="10"/>
      <c r="BU849" s="10" t="s">
        <v>1813</v>
      </c>
      <c r="BV849">
        <v>39.909999999999997</v>
      </c>
      <c r="BW849">
        <v>0.28000000000000003</v>
      </c>
      <c r="BX849">
        <v>30</v>
      </c>
      <c r="BY849">
        <v>42</v>
      </c>
      <c r="BZ849">
        <v>0.25</v>
      </c>
      <c r="CA849">
        <v>30</v>
      </c>
      <c r="CB849" t="s">
        <v>113</v>
      </c>
      <c r="CC849" t="s">
        <v>1814</v>
      </c>
    </row>
    <row r="850" spans="1:81" x14ac:dyDescent="0.25">
      <c r="A850" s="10" t="s">
        <v>1778</v>
      </c>
      <c r="B850">
        <v>849</v>
      </c>
      <c r="C850" s="10">
        <v>53</v>
      </c>
      <c r="D850" s="10">
        <v>50</v>
      </c>
      <c r="E850" s="10">
        <v>182</v>
      </c>
      <c r="F850" s="10">
        <v>195</v>
      </c>
      <c r="G850" s="10">
        <v>485</v>
      </c>
      <c r="H850" s="10">
        <v>739</v>
      </c>
      <c r="I850" s="10" t="s">
        <v>118</v>
      </c>
      <c r="J850" s="10" t="s">
        <v>197</v>
      </c>
      <c r="K850" s="10"/>
      <c r="L850" s="10"/>
      <c r="M850" s="10" t="s">
        <v>85</v>
      </c>
      <c r="N850" s="10"/>
      <c r="O850" s="10" t="s">
        <v>14</v>
      </c>
      <c r="P850" s="10" t="s">
        <v>1809</v>
      </c>
      <c r="Q850" s="10" t="s">
        <v>1810</v>
      </c>
      <c r="R850" s="10">
        <v>2010</v>
      </c>
      <c r="S850" s="10" t="s">
        <v>146</v>
      </c>
      <c r="T850" s="10"/>
      <c r="U850" s="10" t="s">
        <v>1811</v>
      </c>
      <c r="V850" s="10" t="s">
        <v>1812</v>
      </c>
      <c r="W850" s="10" t="s">
        <v>170</v>
      </c>
      <c r="X850" s="10" t="s">
        <v>965</v>
      </c>
      <c r="Y850" s="10" t="s">
        <v>966</v>
      </c>
      <c r="Z850" s="10" t="s">
        <v>967</v>
      </c>
      <c r="AA850" s="10" t="s">
        <v>968</v>
      </c>
      <c r="AB850" s="10" t="s">
        <v>969</v>
      </c>
      <c r="AC850" s="10" t="s">
        <v>970</v>
      </c>
      <c r="AD850" s="10" t="s">
        <v>132</v>
      </c>
      <c r="AE850" s="10" t="s">
        <v>316</v>
      </c>
      <c r="AF850" s="10" t="s">
        <v>260</v>
      </c>
      <c r="AG850" s="10" t="s">
        <v>102</v>
      </c>
      <c r="AH850" s="10" t="s">
        <v>102</v>
      </c>
      <c r="AI850" s="10" t="s">
        <v>134</v>
      </c>
      <c r="AJ850" s="10" t="s">
        <v>135</v>
      </c>
      <c r="AK850" s="10"/>
      <c r="AL850" s="10"/>
      <c r="AM850" s="10" t="s">
        <v>136</v>
      </c>
      <c r="AN850" s="10" t="s">
        <v>106</v>
      </c>
      <c r="AO850" s="10"/>
      <c r="AP850" s="10"/>
      <c r="AQ850" s="10"/>
      <c r="AR850" s="10"/>
      <c r="AS850" s="10">
        <v>2008</v>
      </c>
      <c r="AT850" s="10">
        <v>109.7</v>
      </c>
      <c r="AU850" s="10">
        <v>10.64</v>
      </c>
      <c r="AV850" s="10"/>
      <c r="AW850" s="10" t="s">
        <v>108</v>
      </c>
      <c r="AX850" s="10">
        <v>19</v>
      </c>
      <c r="AY850" s="10" t="s">
        <v>103</v>
      </c>
      <c r="AZ850" s="10" t="s">
        <v>109</v>
      </c>
      <c r="BA850" s="10" t="s">
        <v>110</v>
      </c>
      <c r="BB850" s="10">
        <v>15</v>
      </c>
      <c r="BC850" s="10">
        <v>20</v>
      </c>
      <c r="BD850" s="10"/>
      <c r="BE850" s="10" t="s">
        <v>139</v>
      </c>
      <c r="BF850" s="10">
        <v>30</v>
      </c>
      <c r="BG850" s="10">
        <v>0.5</v>
      </c>
      <c r="BH850" s="10"/>
      <c r="BI850" s="10"/>
      <c r="BJ850" s="10"/>
      <c r="BK850" s="10"/>
      <c r="BL850" s="10"/>
      <c r="BM850" s="10">
        <v>5</v>
      </c>
      <c r="BN850" s="10">
        <v>40</v>
      </c>
      <c r="BO850" s="10"/>
      <c r="BP850" s="10">
        <v>12</v>
      </c>
      <c r="BQ850" s="10"/>
      <c r="BR850" s="10" t="s">
        <v>449</v>
      </c>
      <c r="BS850" s="10"/>
      <c r="BT850" s="10"/>
      <c r="BU850" s="10" t="s">
        <v>1815</v>
      </c>
      <c r="BV850">
        <v>35.94</v>
      </c>
      <c r="BW850">
        <v>1.02</v>
      </c>
      <c r="BX850">
        <v>30</v>
      </c>
      <c r="BY850">
        <v>38.65</v>
      </c>
      <c r="BZ850">
        <v>0.67</v>
      </c>
      <c r="CA850">
        <v>30</v>
      </c>
      <c r="CB850" t="s">
        <v>113</v>
      </c>
      <c r="CC850" t="s">
        <v>1814</v>
      </c>
    </row>
    <row r="851" spans="1:81" x14ac:dyDescent="0.25">
      <c r="A851" s="10" t="s">
        <v>1778</v>
      </c>
      <c r="B851">
        <v>850</v>
      </c>
      <c r="C851" s="10">
        <v>53</v>
      </c>
      <c r="D851" s="10">
        <v>50</v>
      </c>
      <c r="E851" s="10">
        <v>182</v>
      </c>
      <c r="F851" s="10">
        <v>195</v>
      </c>
      <c r="G851" s="10">
        <v>485</v>
      </c>
      <c r="H851" s="10">
        <v>740</v>
      </c>
      <c r="I851" s="10" t="s">
        <v>118</v>
      </c>
      <c r="J851" s="10" t="s">
        <v>197</v>
      </c>
      <c r="K851" s="10"/>
      <c r="L851" s="10"/>
      <c r="M851" s="10" t="s">
        <v>85</v>
      </c>
      <c r="N851" s="10"/>
      <c r="O851" s="10" t="s">
        <v>14</v>
      </c>
      <c r="P851" s="10" t="s">
        <v>1809</v>
      </c>
      <c r="Q851" s="10" t="s">
        <v>1810</v>
      </c>
      <c r="R851" s="10">
        <v>2010</v>
      </c>
      <c r="S851" s="10" t="s">
        <v>146</v>
      </c>
      <c r="T851" s="10"/>
      <c r="U851" s="10" t="s">
        <v>1811</v>
      </c>
      <c r="V851" s="10" t="s">
        <v>1812</v>
      </c>
      <c r="W851" s="10" t="s">
        <v>170</v>
      </c>
      <c r="X851" s="10" t="s">
        <v>965</v>
      </c>
      <c r="Y851" s="10" t="s">
        <v>966</v>
      </c>
      <c r="Z851" s="10" t="s">
        <v>967</v>
      </c>
      <c r="AA851" s="10" t="s">
        <v>968</v>
      </c>
      <c r="AB851" s="10" t="s">
        <v>969</v>
      </c>
      <c r="AC851" s="10" t="s">
        <v>970</v>
      </c>
      <c r="AD851" s="10" t="s">
        <v>132</v>
      </c>
      <c r="AE851" s="10" t="s">
        <v>316</v>
      </c>
      <c r="AF851" s="10" t="s">
        <v>260</v>
      </c>
      <c r="AG851" s="10" t="s">
        <v>102</v>
      </c>
      <c r="AH851" s="10" t="s">
        <v>102</v>
      </c>
      <c r="AI851" s="10" t="s">
        <v>134</v>
      </c>
      <c r="AJ851" s="10" t="s">
        <v>135</v>
      </c>
      <c r="AK851" s="10"/>
      <c r="AL851" s="10"/>
      <c r="AM851" s="10" t="s">
        <v>136</v>
      </c>
      <c r="AN851" s="10" t="s">
        <v>106</v>
      </c>
      <c r="AO851" s="10"/>
      <c r="AP851" s="10"/>
      <c r="AQ851" s="10"/>
      <c r="AR851" s="10"/>
      <c r="AS851" s="10">
        <v>2008</v>
      </c>
      <c r="AT851" s="10">
        <v>109.7</v>
      </c>
      <c r="AU851" s="10">
        <v>10.64</v>
      </c>
      <c r="AV851" s="10"/>
      <c r="AW851" s="10" t="s">
        <v>108</v>
      </c>
      <c r="AX851" s="10">
        <v>19</v>
      </c>
      <c r="AY851" s="10" t="s">
        <v>103</v>
      </c>
      <c r="AZ851" s="10" t="s">
        <v>109</v>
      </c>
      <c r="BA851" s="10" t="s">
        <v>110</v>
      </c>
      <c r="BB851" s="10">
        <v>20</v>
      </c>
      <c r="BC851" s="10">
        <v>25</v>
      </c>
      <c r="BD851" s="10"/>
      <c r="BE851" s="10" t="s">
        <v>139</v>
      </c>
      <c r="BF851" s="10">
        <v>30</v>
      </c>
      <c r="BG851" s="10">
        <v>0.5</v>
      </c>
      <c r="BH851" s="10"/>
      <c r="BI851" s="10"/>
      <c r="BJ851" s="10"/>
      <c r="BK851" s="10"/>
      <c r="BL851" s="10"/>
      <c r="BM851" s="10">
        <v>5</v>
      </c>
      <c r="BN851" s="10">
        <v>40</v>
      </c>
      <c r="BO851" s="10"/>
      <c r="BP851" s="10">
        <v>12</v>
      </c>
      <c r="BQ851" s="10"/>
      <c r="BR851" s="10" t="s">
        <v>449</v>
      </c>
      <c r="BS851" s="10"/>
      <c r="BT851" s="10"/>
      <c r="BU851" s="10" t="s">
        <v>1815</v>
      </c>
      <c r="BV851">
        <v>38.65</v>
      </c>
      <c r="BW851">
        <v>0.67</v>
      </c>
      <c r="BX851">
        <v>30</v>
      </c>
      <c r="BY851">
        <v>40.299999999999997</v>
      </c>
      <c r="BZ851">
        <v>1.23</v>
      </c>
      <c r="CA851">
        <v>30</v>
      </c>
      <c r="CB851" t="s">
        <v>113</v>
      </c>
      <c r="CC851" t="s">
        <v>1814</v>
      </c>
    </row>
    <row r="852" spans="1:81" x14ac:dyDescent="0.25">
      <c r="A852" s="10" t="s">
        <v>1778</v>
      </c>
      <c r="B852">
        <v>851</v>
      </c>
      <c r="C852" s="10">
        <v>53</v>
      </c>
      <c r="D852" s="10">
        <v>50</v>
      </c>
      <c r="E852" s="10">
        <v>182</v>
      </c>
      <c r="F852" s="10">
        <v>195</v>
      </c>
      <c r="G852" s="10">
        <v>485</v>
      </c>
      <c r="H852" s="10">
        <v>741</v>
      </c>
      <c r="I852" s="10" t="s">
        <v>118</v>
      </c>
      <c r="J852" s="10" t="s">
        <v>197</v>
      </c>
      <c r="K852" s="10"/>
      <c r="L852" s="10"/>
      <c r="M852" s="10" t="s">
        <v>85</v>
      </c>
      <c r="N852" s="10"/>
      <c r="O852" s="10" t="s">
        <v>14</v>
      </c>
      <c r="P852" s="10" t="s">
        <v>1809</v>
      </c>
      <c r="Q852" s="10" t="s">
        <v>1810</v>
      </c>
      <c r="R852" s="10">
        <v>2010</v>
      </c>
      <c r="S852" s="10" t="s">
        <v>146</v>
      </c>
      <c r="T852" s="10"/>
      <c r="U852" s="10" t="s">
        <v>1811</v>
      </c>
      <c r="V852" s="10" t="s">
        <v>1812</v>
      </c>
      <c r="W852" s="10" t="s">
        <v>170</v>
      </c>
      <c r="X852" s="10" t="s">
        <v>965</v>
      </c>
      <c r="Y852" s="10" t="s">
        <v>966</v>
      </c>
      <c r="Z852" s="10" t="s">
        <v>967</v>
      </c>
      <c r="AA852" s="10" t="s">
        <v>968</v>
      </c>
      <c r="AB852" s="10" t="s">
        <v>969</v>
      </c>
      <c r="AC852" s="10" t="s">
        <v>970</v>
      </c>
      <c r="AD852" s="10" t="s">
        <v>132</v>
      </c>
      <c r="AE852" s="10" t="s">
        <v>316</v>
      </c>
      <c r="AF852" s="10" t="s">
        <v>260</v>
      </c>
      <c r="AG852" s="10" t="s">
        <v>102</v>
      </c>
      <c r="AH852" s="10" t="s">
        <v>102</v>
      </c>
      <c r="AI852" s="10" t="s">
        <v>134</v>
      </c>
      <c r="AJ852" s="10" t="s">
        <v>135</v>
      </c>
      <c r="AK852" s="10"/>
      <c r="AL852" s="10"/>
      <c r="AM852" s="10" t="s">
        <v>136</v>
      </c>
      <c r="AN852" s="10" t="s">
        <v>106</v>
      </c>
      <c r="AO852" s="10"/>
      <c r="AP852" s="10"/>
      <c r="AQ852" s="10"/>
      <c r="AR852" s="10"/>
      <c r="AS852" s="10">
        <v>2008</v>
      </c>
      <c r="AT852" s="10">
        <v>109.7</v>
      </c>
      <c r="AU852" s="10">
        <v>10.64</v>
      </c>
      <c r="AV852" s="10"/>
      <c r="AW852" s="10" t="s">
        <v>108</v>
      </c>
      <c r="AX852" s="10">
        <v>19</v>
      </c>
      <c r="AY852" s="10" t="s">
        <v>103</v>
      </c>
      <c r="AZ852" s="10" t="s">
        <v>109</v>
      </c>
      <c r="BA852" s="10" t="s">
        <v>110</v>
      </c>
      <c r="BB852" s="10">
        <v>25</v>
      </c>
      <c r="BC852" s="10">
        <v>30</v>
      </c>
      <c r="BD852" s="10"/>
      <c r="BE852" s="10" t="s">
        <v>139</v>
      </c>
      <c r="BF852" s="10">
        <v>30</v>
      </c>
      <c r="BG852" s="10">
        <v>0.5</v>
      </c>
      <c r="BH852" s="10"/>
      <c r="BI852" s="10"/>
      <c r="BJ852" s="10"/>
      <c r="BK852" s="10"/>
      <c r="BL852" s="10"/>
      <c r="BM852" s="10">
        <v>5</v>
      </c>
      <c r="BN852" s="10">
        <v>40</v>
      </c>
      <c r="BO852" s="10"/>
      <c r="BP852" s="10">
        <v>12</v>
      </c>
      <c r="BQ852" s="10"/>
      <c r="BR852" s="10" t="s">
        <v>449</v>
      </c>
      <c r="BS852" s="10"/>
      <c r="BT852" s="10"/>
      <c r="BU852" s="10" t="s">
        <v>1815</v>
      </c>
      <c r="BV852">
        <v>40.299999999999997</v>
      </c>
      <c r="BW852">
        <v>1.23</v>
      </c>
      <c r="BX852">
        <v>30</v>
      </c>
      <c r="BY852">
        <v>42.2</v>
      </c>
      <c r="BZ852">
        <v>0.63</v>
      </c>
      <c r="CA852">
        <v>30</v>
      </c>
      <c r="CB852" t="s">
        <v>113</v>
      </c>
      <c r="CC852" t="s">
        <v>1814</v>
      </c>
    </row>
    <row r="853" spans="1:81" x14ac:dyDescent="0.25">
      <c r="A853" s="10" t="s">
        <v>1778</v>
      </c>
      <c r="B853">
        <v>852</v>
      </c>
      <c r="C853" s="10">
        <v>52</v>
      </c>
      <c r="D853" s="10">
        <v>49</v>
      </c>
      <c r="E853" s="10">
        <v>183</v>
      </c>
      <c r="F853" s="10">
        <v>196</v>
      </c>
      <c r="G853" s="10">
        <v>486</v>
      </c>
      <c r="H853" s="10">
        <v>742</v>
      </c>
      <c r="I853" s="10" t="s">
        <v>118</v>
      </c>
      <c r="J853" s="10" t="s">
        <v>1816</v>
      </c>
      <c r="K853" s="10"/>
      <c r="L853" s="10"/>
      <c r="M853" s="10" t="s">
        <v>85</v>
      </c>
      <c r="N853" s="10"/>
      <c r="O853" s="10" t="s">
        <v>14</v>
      </c>
      <c r="P853" s="10" t="s">
        <v>1817</v>
      </c>
      <c r="Q853" s="10" t="s">
        <v>1818</v>
      </c>
      <c r="R853" s="10">
        <v>2014</v>
      </c>
      <c r="S853" s="10" t="s">
        <v>289</v>
      </c>
      <c r="T853" s="10"/>
      <c r="U853" s="10" t="s">
        <v>1819</v>
      </c>
      <c r="V853" s="10" t="s">
        <v>1820</v>
      </c>
      <c r="W853" s="10" t="s">
        <v>91</v>
      </c>
      <c r="X853" s="10" t="s">
        <v>126</v>
      </c>
      <c r="Y853" s="10" t="s">
        <v>1821</v>
      </c>
      <c r="Z853" s="10" t="s">
        <v>1822</v>
      </c>
      <c r="AA853" s="10" t="s">
        <v>1823</v>
      </c>
      <c r="AB853" s="10" t="s">
        <v>1824</v>
      </c>
      <c r="AC853" s="10" t="s">
        <v>1825</v>
      </c>
      <c r="AD853" s="10" t="s">
        <v>132</v>
      </c>
      <c r="AE853" s="10" t="s">
        <v>133</v>
      </c>
      <c r="AF853" s="10" t="s">
        <v>100</v>
      </c>
      <c r="AG853" s="10" t="s">
        <v>102</v>
      </c>
      <c r="AH853" s="10" t="s">
        <v>102</v>
      </c>
      <c r="AI853" s="10" t="s">
        <v>134</v>
      </c>
      <c r="AJ853" s="10" t="s">
        <v>135</v>
      </c>
      <c r="AK853" s="10"/>
      <c r="AL853" s="10"/>
      <c r="AM853" s="10" t="s">
        <v>136</v>
      </c>
      <c r="AN853" s="10" t="s">
        <v>106</v>
      </c>
      <c r="AO853" s="10"/>
      <c r="AP853" s="10"/>
      <c r="AQ853" s="10"/>
      <c r="AR853" s="10"/>
      <c r="AS853" s="10"/>
      <c r="AT853" s="10">
        <v>49</v>
      </c>
      <c r="AU853" s="10">
        <v>0.8</v>
      </c>
      <c r="AV853" s="10">
        <v>152</v>
      </c>
      <c r="AW853" s="10" t="s">
        <v>108</v>
      </c>
      <c r="AX853" s="10">
        <v>16.399999999999999</v>
      </c>
      <c r="AY853" s="10" t="s">
        <v>103</v>
      </c>
      <c r="AZ853" s="10" t="s">
        <v>109</v>
      </c>
      <c r="BA853" s="10" t="s">
        <v>138</v>
      </c>
      <c r="BB853" s="10">
        <v>11.9</v>
      </c>
      <c r="BC853" s="10">
        <v>15.7</v>
      </c>
      <c r="BD853" s="10">
        <v>0.1</v>
      </c>
      <c r="BE853" s="10" t="s">
        <v>139</v>
      </c>
      <c r="BF853" s="10">
        <v>21</v>
      </c>
      <c r="BG853" s="10">
        <v>0.3</v>
      </c>
      <c r="BH853" s="10"/>
      <c r="BI853" s="10"/>
      <c r="BJ853" s="10"/>
      <c r="BK853" s="10"/>
      <c r="BL853" s="10"/>
      <c r="BM853" s="10"/>
      <c r="BN853" s="10"/>
      <c r="BO853" s="10">
        <v>8.6</v>
      </c>
      <c r="BP853" s="10"/>
      <c r="BQ853" s="10"/>
      <c r="BR853" s="10" t="s">
        <v>449</v>
      </c>
      <c r="BS853" s="10"/>
      <c r="BT853" s="10"/>
      <c r="BU853" s="10" t="s">
        <v>1826</v>
      </c>
      <c r="BV853">
        <v>27.1</v>
      </c>
      <c r="BW853">
        <v>0.8</v>
      </c>
      <c r="BX853">
        <v>20</v>
      </c>
      <c r="BY853">
        <v>29.9</v>
      </c>
      <c r="BZ853">
        <v>0.3</v>
      </c>
      <c r="CA853">
        <v>16</v>
      </c>
      <c r="CB853" t="s">
        <v>113</v>
      </c>
      <c r="CC853" t="s">
        <v>207</v>
      </c>
    </row>
    <row r="854" spans="1:81" x14ac:dyDescent="0.25">
      <c r="A854" s="10" t="s">
        <v>1778</v>
      </c>
      <c r="B854">
        <v>853</v>
      </c>
      <c r="C854" s="10">
        <v>52</v>
      </c>
      <c r="D854" s="10">
        <v>49</v>
      </c>
      <c r="E854" s="10">
        <v>183</v>
      </c>
      <c r="F854" s="10">
        <v>196</v>
      </c>
      <c r="G854" s="10">
        <v>486</v>
      </c>
      <c r="H854" s="10">
        <v>743</v>
      </c>
      <c r="I854" s="10" t="s">
        <v>118</v>
      </c>
      <c r="J854" s="10" t="s">
        <v>1816</v>
      </c>
      <c r="K854" s="10"/>
      <c r="L854" s="10"/>
      <c r="M854" s="10" t="s">
        <v>85</v>
      </c>
      <c r="N854" s="10"/>
      <c r="O854" s="10" t="s">
        <v>14</v>
      </c>
      <c r="P854" s="10" t="s">
        <v>1817</v>
      </c>
      <c r="Q854" s="10" t="s">
        <v>1818</v>
      </c>
      <c r="R854" s="10">
        <v>2014</v>
      </c>
      <c r="S854" s="10" t="s">
        <v>289</v>
      </c>
      <c r="T854" s="10"/>
      <c r="U854" s="10" t="s">
        <v>1819</v>
      </c>
      <c r="V854" s="10" t="s">
        <v>1820</v>
      </c>
      <c r="W854" s="10" t="s">
        <v>91</v>
      </c>
      <c r="X854" s="10" t="s">
        <v>126</v>
      </c>
      <c r="Y854" s="10" t="s">
        <v>1821</v>
      </c>
      <c r="Z854" s="10" t="s">
        <v>1822</v>
      </c>
      <c r="AA854" s="10" t="s">
        <v>1823</v>
      </c>
      <c r="AB854" s="10" t="s">
        <v>1824</v>
      </c>
      <c r="AC854" s="10" t="s">
        <v>1825</v>
      </c>
      <c r="AD854" s="10" t="s">
        <v>132</v>
      </c>
      <c r="AE854" s="10" t="s">
        <v>133</v>
      </c>
      <c r="AF854" s="10" t="s">
        <v>100</v>
      </c>
      <c r="AG854" s="10" t="s">
        <v>102</v>
      </c>
      <c r="AH854" s="10" t="s">
        <v>102</v>
      </c>
      <c r="AI854" s="10" t="s">
        <v>134</v>
      </c>
      <c r="AJ854" s="10" t="s">
        <v>135</v>
      </c>
      <c r="AK854" s="10"/>
      <c r="AL854" s="10"/>
      <c r="AM854" s="10" t="s">
        <v>136</v>
      </c>
      <c r="AN854" s="10" t="s">
        <v>106</v>
      </c>
      <c r="AO854" s="10"/>
      <c r="AP854" s="10"/>
      <c r="AQ854" s="10"/>
      <c r="AR854" s="10"/>
      <c r="AS854" s="10"/>
      <c r="AT854" s="10">
        <v>49</v>
      </c>
      <c r="AU854" s="10">
        <v>0.8</v>
      </c>
      <c r="AV854" s="10">
        <v>152</v>
      </c>
      <c r="AW854" s="10" t="s">
        <v>108</v>
      </c>
      <c r="AX854" s="10">
        <v>16.399999999999999</v>
      </c>
      <c r="AY854" s="10" t="s">
        <v>103</v>
      </c>
      <c r="AZ854" s="10" t="s">
        <v>109</v>
      </c>
      <c r="BA854" s="10" t="s">
        <v>138</v>
      </c>
      <c r="BB854" s="10">
        <v>15.7</v>
      </c>
      <c r="BC854" s="10">
        <v>19.7</v>
      </c>
      <c r="BD854" s="10">
        <v>0.15</v>
      </c>
      <c r="BE854" s="10" t="s">
        <v>139</v>
      </c>
      <c r="BF854" s="10">
        <v>21</v>
      </c>
      <c r="BG854" s="10">
        <v>0.3</v>
      </c>
      <c r="BH854" s="10"/>
      <c r="BI854" s="10"/>
      <c r="BJ854" s="10"/>
      <c r="BK854" s="10"/>
      <c r="BL854" s="10"/>
      <c r="BM854" s="10"/>
      <c r="BN854" s="10"/>
      <c r="BO854" s="10">
        <v>8.6</v>
      </c>
      <c r="BP854" s="10"/>
      <c r="BQ854" s="10"/>
      <c r="BR854" s="10" t="s">
        <v>449</v>
      </c>
      <c r="BS854" s="10"/>
      <c r="BT854" s="10"/>
      <c r="BU854" s="10" t="s">
        <v>1826</v>
      </c>
      <c r="BV854">
        <v>29.9</v>
      </c>
      <c r="BW854">
        <v>0.3</v>
      </c>
      <c r="BX854">
        <v>16</v>
      </c>
      <c r="BY854">
        <v>28.9</v>
      </c>
      <c r="BZ854">
        <v>0.7</v>
      </c>
      <c r="CA854">
        <v>20</v>
      </c>
      <c r="CB854" t="s">
        <v>113</v>
      </c>
      <c r="CC854" t="s">
        <v>207</v>
      </c>
    </row>
    <row r="855" spans="1:81" x14ac:dyDescent="0.25">
      <c r="A855" s="10" t="s">
        <v>1778</v>
      </c>
      <c r="B855">
        <v>854</v>
      </c>
      <c r="C855" s="10">
        <v>51</v>
      </c>
      <c r="D855" s="10">
        <v>48</v>
      </c>
      <c r="E855" s="10">
        <v>184</v>
      </c>
      <c r="F855" s="10">
        <v>197</v>
      </c>
      <c r="G855" s="10">
        <v>487</v>
      </c>
      <c r="H855" s="10">
        <v>744</v>
      </c>
      <c r="I855" s="10" t="s">
        <v>118</v>
      </c>
      <c r="J855" s="10" t="s">
        <v>691</v>
      </c>
      <c r="K855" s="10"/>
      <c r="L855" s="10"/>
      <c r="M855" s="10" t="s">
        <v>85</v>
      </c>
      <c r="N855" s="10"/>
      <c r="O855" s="10" t="s">
        <v>14</v>
      </c>
      <c r="P855" s="10" t="s">
        <v>1827</v>
      </c>
      <c r="Q855" s="10" t="s">
        <v>1828</v>
      </c>
      <c r="R855" s="10">
        <v>2017</v>
      </c>
      <c r="S855" s="10" t="s">
        <v>146</v>
      </c>
      <c r="T855" s="10"/>
      <c r="U855" s="10" t="s">
        <v>1829</v>
      </c>
      <c r="V855" s="10" t="s">
        <v>1830</v>
      </c>
      <c r="W855" s="10" t="s">
        <v>91</v>
      </c>
      <c r="X855" s="10" t="s">
        <v>126</v>
      </c>
      <c r="Y855" s="10" t="s">
        <v>1572</v>
      </c>
      <c r="Z855" s="10" t="s">
        <v>1573</v>
      </c>
      <c r="AA855" s="10" t="s">
        <v>1831</v>
      </c>
      <c r="AB855" s="10" t="s">
        <v>1832</v>
      </c>
      <c r="AC855" s="10" t="s">
        <v>1833</v>
      </c>
      <c r="AD855" s="10" t="s">
        <v>132</v>
      </c>
      <c r="AE855" s="10" t="s">
        <v>133</v>
      </c>
      <c r="AF855" s="10" t="s">
        <v>100</v>
      </c>
      <c r="AG855" s="10" t="s">
        <v>102</v>
      </c>
      <c r="AH855" s="10" t="s">
        <v>102</v>
      </c>
      <c r="AI855" s="10" t="s">
        <v>134</v>
      </c>
      <c r="AJ855" s="10" t="s">
        <v>135</v>
      </c>
      <c r="AK855" s="10"/>
      <c r="AL855" s="10"/>
      <c r="AM855" s="10" t="s">
        <v>136</v>
      </c>
      <c r="AN855" s="10" t="s">
        <v>700</v>
      </c>
      <c r="AO855" s="10"/>
      <c r="AP855" s="10"/>
      <c r="AQ855" s="10"/>
      <c r="AR855" s="10"/>
      <c r="AS855" s="10"/>
      <c r="AT855" s="10"/>
      <c r="AU855" s="10">
        <v>3.4</v>
      </c>
      <c r="AV855" s="10"/>
      <c r="AW855" s="10" t="s">
        <v>108</v>
      </c>
      <c r="AX855" s="10">
        <v>24</v>
      </c>
      <c r="AY855" s="10" t="s">
        <v>103</v>
      </c>
      <c r="AZ855" s="10" t="s">
        <v>109</v>
      </c>
      <c r="BA855" s="10" t="s">
        <v>138</v>
      </c>
      <c r="BB855" s="10">
        <v>18</v>
      </c>
      <c r="BC855" s="10">
        <v>22</v>
      </c>
      <c r="BD855" s="10"/>
      <c r="BE855" s="10" t="s">
        <v>139</v>
      </c>
      <c r="BF855" s="10">
        <v>30</v>
      </c>
      <c r="BG855" s="10">
        <v>0.3</v>
      </c>
      <c r="BH855" s="10"/>
      <c r="BI855" s="10"/>
      <c r="BJ855" s="10"/>
      <c r="BK855" s="10"/>
      <c r="BL855" s="10"/>
      <c r="BM855" s="10"/>
      <c r="BN855" s="10">
        <v>30</v>
      </c>
      <c r="BO855" s="10"/>
      <c r="BP855" s="10"/>
      <c r="BQ855" s="10"/>
      <c r="BR855" s="10" t="s">
        <v>69</v>
      </c>
      <c r="BS855" s="10" t="s">
        <v>1834</v>
      </c>
      <c r="BT855" s="10"/>
      <c r="BU855" s="10" t="s">
        <v>1835</v>
      </c>
      <c r="BV855">
        <v>34.22</v>
      </c>
      <c r="BW855">
        <v>0.22</v>
      </c>
      <c r="BX855">
        <v>20</v>
      </c>
      <c r="BY855">
        <v>35.25</v>
      </c>
      <c r="BZ855">
        <v>0.16</v>
      </c>
      <c r="CA855">
        <v>20</v>
      </c>
      <c r="CB855" t="s">
        <v>113</v>
      </c>
      <c r="CC855" t="s">
        <v>207</v>
      </c>
    </row>
    <row r="856" spans="1:81" x14ac:dyDescent="0.25">
      <c r="A856" s="10" t="s">
        <v>1778</v>
      </c>
      <c r="B856">
        <v>855</v>
      </c>
      <c r="C856" s="10">
        <v>51</v>
      </c>
      <c r="D856" s="10">
        <v>48</v>
      </c>
      <c r="E856" s="10">
        <v>184</v>
      </c>
      <c r="F856" s="10">
        <v>197</v>
      </c>
      <c r="G856" s="10">
        <v>487</v>
      </c>
      <c r="H856" s="10">
        <v>745</v>
      </c>
      <c r="I856" s="10" t="s">
        <v>118</v>
      </c>
      <c r="J856" s="10" t="s">
        <v>691</v>
      </c>
      <c r="K856" s="10"/>
      <c r="L856" s="10"/>
      <c r="M856" s="10" t="s">
        <v>85</v>
      </c>
      <c r="N856" s="10"/>
      <c r="O856" s="10" t="s">
        <v>14</v>
      </c>
      <c r="P856" s="10" t="s">
        <v>1827</v>
      </c>
      <c r="Q856" s="10" t="s">
        <v>1828</v>
      </c>
      <c r="R856" s="10">
        <v>2017</v>
      </c>
      <c r="S856" s="10" t="s">
        <v>146</v>
      </c>
      <c r="T856" s="10"/>
      <c r="U856" s="10" t="s">
        <v>1829</v>
      </c>
      <c r="V856" s="10" t="s">
        <v>1830</v>
      </c>
      <c r="W856" s="10" t="s">
        <v>91</v>
      </c>
      <c r="X856" s="10" t="s">
        <v>126</v>
      </c>
      <c r="Y856" s="10" t="s">
        <v>1572</v>
      </c>
      <c r="Z856" s="10" t="s">
        <v>1573</v>
      </c>
      <c r="AA856" s="10" t="s">
        <v>1831</v>
      </c>
      <c r="AB856" s="10" t="s">
        <v>1832</v>
      </c>
      <c r="AC856" s="10" t="s">
        <v>1833</v>
      </c>
      <c r="AD856" s="10" t="s">
        <v>132</v>
      </c>
      <c r="AE856" s="10" t="s">
        <v>133</v>
      </c>
      <c r="AF856" s="10" t="s">
        <v>100</v>
      </c>
      <c r="AG856" s="10" t="s">
        <v>102</v>
      </c>
      <c r="AH856" s="10" t="s">
        <v>102</v>
      </c>
      <c r="AI856" s="10" t="s">
        <v>134</v>
      </c>
      <c r="AJ856" s="10" t="s">
        <v>135</v>
      </c>
      <c r="AK856" s="10"/>
      <c r="AL856" s="10"/>
      <c r="AM856" s="10" t="s">
        <v>136</v>
      </c>
      <c r="AN856" s="10" t="s">
        <v>700</v>
      </c>
      <c r="AO856" s="10"/>
      <c r="AP856" s="10"/>
      <c r="AQ856" s="10"/>
      <c r="AR856" s="10"/>
      <c r="AS856" s="10"/>
      <c r="AT856" s="10"/>
      <c r="AU856" s="10">
        <v>3.4</v>
      </c>
      <c r="AV856" s="10"/>
      <c r="AW856" s="10" t="s">
        <v>108</v>
      </c>
      <c r="AX856" s="10">
        <v>24</v>
      </c>
      <c r="AY856" s="10" t="s">
        <v>103</v>
      </c>
      <c r="AZ856" s="10" t="s">
        <v>109</v>
      </c>
      <c r="BA856" s="10" t="s">
        <v>138</v>
      </c>
      <c r="BB856" s="10">
        <v>22</v>
      </c>
      <c r="BC856" s="10">
        <v>26</v>
      </c>
      <c r="BD856" s="10"/>
      <c r="BE856" s="10" t="s">
        <v>139</v>
      </c>
      <c r="BF856" s="10">
        <v>30</v>
      </c>
      <c r="BG856" s="10">
        <v>0.3</v>
      </c>
      <c r="BH856" s="10"/>
      <c r="BI856" s="10"/>
      <c r="BJ856" s="10"/>
      <c r="BK856" s="10"/>
      <c r="BL856" s="10"/>
      <c r="BM856" s="10"/>
      <c r="BN856" s="10">
        <v>30</v>
      </c>
      <c r="BO856" s="10"/>
      <c r="BP856" s="10"/>
      <c r="BQ856" s="10"/>
      <c r="BR856" s="10" t="s">
        <v>69</v>
      </c>
      <c r="BS856" s="10" t="s">
        <v>1834</v>
      </c>
      <c r="BT856" s="10"/>
      <c r="BU856" s="10" t="s">
        <v>1835</v>
      </c>
      <c r="BV856">
        <v>35.25</v>
      </c>
      <c r="BW856">
        <v>0.16</v>
      </c>
      <c r="BX856">
        <v>20</v>
      </c>
      <c r="BY856">
        <v>35.909999999999997</v>
      </c>
      <c r="BZ856">
        <v>0.28000000000000003</v>
      </c>
      <c r="CA856">
        <v>20</v>
      </c>
      <c r="CB856" t="s">
        <v>113</v>
      </c>
      <c r="CC856" t="s">
        <v>207</v>
      </c>
    </row>
    <row r="857" spans="1:81" x14ac:dyDescent="0.25">
      <c r="A857" s="10" t="s">
        <v>1778</v>
      </c>
      <c r="B857">
        <v>856</v>
      </c>
      <c r="C857" s="10">
        <v>51</v>
      </c>
      <c r="D857" s="10">
        <v>48</v>
      </c>
      <c r="E857" s="10">
        <v>184</v>
      </c>
      <c r="F857" s="10">
        <v>197</v>
      </c>
      <c r="G857" s="10">
        <v>487</v>
      </c>
      <c r="H857" s="10">
        <v>746</v>
      </c>
      <c r="I857" s="10" t="s">
        <v>118</v>
      </c>
      <c r="J857" s="10" t="s">
        <v>691</v>
      </c>
      <c r="K857" s="10"/>
      <c r="L857" s="10"/>
      <c r="M857" s="10" t="s">
        <v>85</v>
      </c>
      <c r="N857" s="10"/>
      <c r="O857" s="10" t="s">
        <v>14</v>
      </c>
      <c r="P857" s="10" t="s">
        <v>1827</v>
      </c>
      <c r="Q857" s="10" t="s">
        <v>1828</v>
      </c>
      <c r="R857" s="10">
        <v>2017</v>
      </c>
      <c r="S857" s="10" t="s">
        <v>146</v>
      </c>
      <c r="T857" s="10"/>
      <c r="U857" s="10" t="s">
        <v>1829</v>
      </c>
      <c r="V857" s="10" t="s">
        <v>1830</v>
      </c>
      <c r="W857" s="10" t="s">
        <v>91</v>
      </c>
      <c r="X857" s="10" t="s">
        <v>126</v>
      </c>
      <c r="Y857" s="10" t="s">
        <v>1572</v>
      </c>
      <c r="Z857" s="10" t="s">
        <v>1573</v>
      </c>
      <c r="AA857" s="10" t="s">
        <v>1831</v>
      </c>
      <c r="AB857" s="10" t="s">
        <v>1832</v>
      </c>
      <c r="AC857" s="10" t="s">
        <v>1833</v>
      </c>
      <c r="AD857" s="10" t="s">
        <v>132</v>
      </c>
      <c r="AE857" s="10" t="s">
        <v>133</v>
      </c>
      <c r="AF857" s="10" t="s">
        <v>100</v>
      </c>
      <c r="AG857" s="10" t="s">
        <v>102</v>
      </c>
      <c r="AH857" s="10" t="s">
        <v>102</v>
      </c>
      <c r="AI857" s="10" t="s">
        <v>134</v>
      </c>
      <c r="AJ857" s="10" t="s">
        <v>135</v>
      </c>
      <c r="AK857" s="10"/>
      <c r="AL857" s="10"/>
      <c r="AM857" s="10" t="s">
        <v>136</v>
      </c>
      <c r="AN857" s="10" t="s">
        <v>700</v>
      </c>
      <c r="AO857" s="10"/>
      <c r="AP857" s="10"/>
      <c r="AQ857" s="10"/>
      <c r="AR857" s="10"/>
      <c r="AS857" s="10"/>
      <c r="AT857" s="10"/>
      <c r="AU857" s="10">
        <v>3.4</v>
      </c>
      <c r="AV857" s="10"/>
      <c r="AW857" s="10" t="s">
        <v>108</v>
      </c>
      <c r="AX857" s="10">
        <v>24</v>
      </c>
      <c r="AY857" s="10" t="s">
        <v>103</v>
      </c>
      <c r="AZ857" s="10" t="s">
        <v>109</v>
      </c>
      <c r="BA857" s="10" t="s">
        <v>138</v>
      </c>
      <c r="BB857" s="10">
        <v>26</v>
      </c>
      <c r="BC857" s="10">
        <v>30</v>
      </c>
      <c r="BD857" s="10"/>
      <c r="BE857" s="10" t="s">
        <v>139</v>
      </c>
      <c r="BF857" s="10">
        <v>30</v>
      </c>
      <c r="BG857" s="10">
        <v>0.3</v>
      </c>
      <c r="BH857" s="10"/>
      <c r="BI857" s="10"/>
      <c r="BJ857" s="10"/>
      <c r="BK857" s="10"/>
      <c r="BL857" s="10"/>
      <c r="BM857" s="10"/>
      <c r="BN857" s="10">
        <v>30</v>
      </c>
      <c r="BO857" s="10"/>
      <c r="BP857" s="10"/>
      <c r="BQ857" s="10"/>
      <c r="BR857" s="10" t="s">
        <v>69</v>
      </c>
      <c r="BS857" s="10" t="s">
        <v>1834</v>
      </c>
      <c r="BT857" s="10"/>
      <c r="BU857" s="10" t="s">
        <v>1835</v>
      </c>
      <c r="BV857">
        <v>35.909999999999997</v>
      </c>
      <c r="BW857">
        <v>0.28000000000000003</v>
      </c>
      <c r="BX857">
        <v>20</v>
      </c>
      <c r="BY857">
        <v>36.979999999999997</v>
      </c>
      <c r="BZ857">
        <v>0.71</v>
      </c>
      <c r="CA857">
        <v>20</v>
      </c>
      <c r="CB857" t="s">
        <v>113</v>
      </c>
      <c r="CC857" t="s">
        <v>207</v>
      </c>
    </row>
    <row r="858" spans="1:81" x14ac:dyDescent="0.25">
      <c r="A858" s="10" t="s">
        <v>1778</v>
      </c>
      <c r="B858">
        <v>857</v>
      </c>
      <c r="C858" s="10">
        <v>42</v>
      </c>
      <c r="D858" s="10">
        <v>39</v>
      </c>
      <c r="E858" s="10">
        <v>185</v>
      </c>
      <c r="F858" s="10">
        <v>198</v>
      </c>
      <c r="G858" s="10">
        <v>488</v>
      </c>
      <c r="H858" s="10">
        <v>747</v>
      </c>
      <c r="I858" s="10" t="s">
        <v>1836</v>
      </c>
      <c r="J858" s="10" t="s">
        <v>197</v>
      </c>
      <c r="K858" s="10"/>
      <c r="L858" s="10"/>
      <c r="M858" s="10" t="s">
        <v>85</v>
      </c>
      <c r="N858" s="10"/>
      <c r="O858" s="10" t="s">
        <v>14</v>
      </c>
      <c r="P858" s="10" t="s">
        <v>1837</v>
      </c>
      <c r="Q858" s="10" t="s">
        <v>1838</v>
      </c>
      <c r="R858" s="10">
        <v>2014</v>
      </c>
      <c r="S858" s="10" t="s">
        <v>146</v>
      </c>
      <c r="T858" s="10"/>
      <c r="U858" s="10" t="s">
        <v>1839</v>
      </c>
      <c r="V858" s="10" t="s">
        <v>1840</v>
      </c>
      <c r="W858" s="10" t="s">
        <v>91</v>
      </c>
      <c r="X858" s="10" t="s">
        <v>126</v>
      </c>
      <c r="Y858" s="10" t="s">
        <v>127</v>
      </c>
      <c r="Z858" s="10" t="s">
        <v>128</v>
      </c>
      <c r="AA858" s="10" t="s">
        <v>1841</v>
      </c>
      <c r="AB858" s="10" t="s">
        <v>1842</v>
      </c>
      <c r="AC858" s="10" t="s">
        <v>1843</v>
      </c>
      <c r="AD858" s="10" t="s">
        <v>132</v>
      </c>
      <c r="AE858" s="10" t="s">
        <v>133</v>
      </c>
      <c r="AF858" s="10" t="s">
        <v>100</v>
      </c>
      <c r="AG858" s="10" t="s">
        <v>102</v>
      </c>
      <c r="AH858" s="10" t="s">
        <v>102</v>
      </c>
      <c r="AI858" s="10" t="s">
        <v>134</v>
      </c>
      <c r="AJ858" s="10" t="s">
        <v>135</v>
      </c>
      <c r="AK858" s="10"/>
      <c r="AL858" s="10"/>
      <c r="AM858" s="10" t="s">
        <v>136</v>
      </c>
      <c r="AN858" s="10" t="s">
        <v>137</v>
      </c>
      <c r="AO858" s="10"/>
      <c r="AP858" s="10"/>
      <c r="AQ858" s="10"/>
      <c r="AR858" s="10"/>
      <c r="AS858" s="10"/>
      <c r="AT858" s="10">
        <f>(44.94+81.4)/2</f>
        <v>63.17</v>
      </c>
      <c r="AU858" s="10">
        <f>(1.78+11.03)/2</f>
        <v>6.4049999999999994</v>
      </c>
      <c r="AV858" s="10">
        <v>180</v>
      </c>
      <c r="AW858" s="10" t="s">
        <v>108</v>
      </c>
      <c r="AX858" s="10">
        <v>16</v>
      </c>
      <c r="AY858" s="10" t="s">
        <v>103</v>
      </c>
      <c r="AZ858" s="10" t="s">
        <v>109</v>
      </c>
      <c r="BA858" s="10" t="s">
        <v>138</v>
      </c>
      <c r="BB858" s="10">
        <v>14</v>
      </c>
      <c r="BC858" s="10">
        <v>18</v>
      </c>
      <c r="BD858" s="10"/>
      <c r="BE858" s="10" t="s">
        <v>139</v>
      </c>
      <c r="BF858" s="10">
        <v>168</v>
      </c>
      <c r="BG858" s="10">
        <f>1/30</f>
        <v>3.3333333333333333E-2</v>
      </c>
      <c r="BH858" s="10"/>
      <c r="BI858" s="10"/>
      <c r="BJ858" s="10"/>
      <c r="BK858" s="10"/>
      <c r="BL858" s="10"/>
      <c r="BM858" s="10"/>
      <c r="BN858" s="10"/>
      <c r="BO858" s="10"/>
      <c r="BP858" s="10"/>
      <c r="BQ858" s="10"/>
      <c r="BR858" s="10"/>
      <c r="BS858" s="10"/>
      <c r="BT858" s="10"/>
      <c r="BU858" s="10" t="s">
        <v>1844</v>
      </c>
      <c r="BV858">
        <v>32.86</v>
      </c>
      <c r="BW858">
        <v>0.38340579000000002</v>
      </c>
      <c r="BX858">
        <v>30</v>
      </c>
      <c r="BY858">
        <v>33.520000000000003</v>
      </c>
      <c r="BZ858">
        <v>0.27386127900000001</v>
      </c>
      <c r="CA858">
        <v>30</v>
      </c>
      <c r="CB858" t="s">
        <v>113</v>
      </c>
      <c r="CC858" t="s">
        <v>1787</v>
      </c>
    </row>
    <row r="859" spans="1:81" x14ac:dyDescent="0.25">
      <c r="A859" s="10" t="s">
        <v>1778</v>
      </c>
      <c r="B859">
        <v>858</v>
      </c>
      <c r="C859" s="10">
        <v>42</v>
      </c>
      <c r="D859" s="10">
        <v>39</v>
      </c>
      <c r="E859" s="10">
        <v>185</v>
      </c>
      <c r="F859" s="10">
        <v>198</v>
      </c>
      <c r="G859" s="10">
        <v>488</v>
      </c>
      <c r="H859" s="10">
        <v>748</v>
      </c>
      <c r="I859" s="10" t="s">
        <v>1836</v>
      </c>
      <c r="J859" s="10" t="s">
        <v>197</v>
      </c>
      <c r="K859" s="10"/>
      <c r="L859" s="10"/>
      <c r="M859" s="10" t="s">
        <v>85</v>
      </c>
      <c r="N859" s="10"/>
      <c r="O859" s="10" t="s">
        <v>14</v>
      </c>
      <c r="P859" s="10" t="s">
        <v>1837</v>
      </c>
      <c r="Q859" s="10" t="s">
        <v>1838</v>
      </c>
      <c r="R859" s="10">
        <v>2014</v>
      </c>
      <c r="S859" s="10" t="s">
        <v>146</v>
      </c>
      <c r="T859" s="10"/>
      <c r="U859" s="10" t="s">
        <v>1839</v>
      </c>
      <c r="V859" s="10" t="s">
        <v>1840</v>
      </c>
      <c r="W859" s="10" t="s">
        <v>91</v>
      </c>
      <c r="X859" s="10" t="s">
        <v>126</v>
      </c>
      <c r="Y859" s="10" t="s">
        <v>127</v>
      </c>
      <c r="Z859" s="10" t="s">
        <v>128</v>
      </c>
      <c r="AA859" s="10" t="s">
        <v>1841</v>
      </c>
      <c r="AB859" s="10" t="s">
        <v>1842</v>
      </c>
      <c r="AC859" s="10" t="s">
        <v>1843</v>
      </c>
      <c r="AD859" s="10" t="s">
        <v>132</v>
      </c>
      <c r="AE859" s="10" t="s">
        <v>133</v>
      </c>
      <c r="AF859" s="10" t="s">
        <v>100</v>
      </c>
      <c r="AG859" s="10" t="s">
        <v>102</v>
      </c>
      <c r="AH859" s="10" t="s">
        <v>102</v>
      </c>
      <c r="AI859" s="10" t="s">
        <v>134</v>
      </c>
      <c r="AJ859" s="10" t="s">
        <v>135</v>
      </c>
      <c r="AK859" s="10"/>
      <c r="AL859" s="10"/>
      <c r="AM859" s="10" t="s">
        <v>136</v>
      </c>
      <c r="AN859" s="10" t="s">
        <v>137</v>
      </c>
      <c r="AO859" s="10"/>
      <c r="AP859" s="10"/>
      <c r="AQ859" s="10"/>
      <c r="AR859" s="10"/>
      <c r="AS859" s="10"/>
      <c r="AT859" s="10">
        <f>(81.4+84.3)/2</f>
        <v>82.85</v>
      </c>
      <c r="AU859" s="10">
        <f>(11.03+9.78)/2</f>
        <v>10.404999999999999</v>
      </c>
      <c r="AV859" s="10">
        <v>180</v>
      </c>
      <c r="AW859" s="10" t="s">
        <v>108</v>
      </c>
      <c r="AX859" s="10">
        <v>16</v>
      </c>
      <c r="AY859" s="10" t="s">
        <v>103</v>
      </c>
      <c r="AZ859" s="10" t="s">
        <v>109</v>
      </c>
      <c r="BA859" s="10" t="s">
        <v>138</v>
      </c>
      <c r="BB859" s="10">
        <v>18</v>
      </c>
      <c r="BC859" s="10">
        <v>22</v>
      </c>
      <c r="BD859" s="10"/>
      <c r="BE859" s="10" t="s">
        <v>139</v>
      </c>
      <c r="BF859" s="10">
        <v>168</v>
      </c>
      <c r="BG859" s="10">
        <f>1/30</f>
        <v>3.3333333333333333E-2</v>
      </c>
      <c r="BH859" s="10"/>
      <c r="BI859" s="10"/>
      <c r="BJ859" s="10"/>
      <c r="BK859" s="10"/>
      <c r="BL859" s="10"/>
      <c r="BM859" s="10"/>
      <c r="BN859" s="10"/>
      <c r="BO859" s="10"/>
      <c r="BP859" s="10"/>
      <c r="BQ859" s="10"/>
      <c r="BR859" s="10"/>
      <c r="BS859" s="10"/>
      <c r="BT859" s="10"/>
      <c r="BU859" s="10" t="s">
        <v>1844</v>
      </c>
      <c r="BV859">
        <v>33.520000000000003</v>
      </c>
      <c r="BW859">
        <v>0.27386127900000001</v>
      </c>
      <c r="BX859">
        <v>30</v>
      </c>
      <c r="BY859">
        <v>34.54</v>
      </c>
      <c r="BZ859">
        <v>0.21908902299999999</v>
      </c>
      <c r="CA859">
        <v>30</v>
      </c>
      <c r="CB859" t="s">
        <v>113</v>
      </c>
      <c r="CC859" t="s">
        <v>1787</v>
      </c>
    </row>
    <row r="860" spans="1:81" x14ac:dyDescent="0.25">
      <c r="A860" s="10" t="s">
        <v>1788</v>
      </c>
      <c r="B860">
        <v>859</v>
      </c>
      <c r="C860" s="10">
        <v>42</v>
      </c>
      <c r="D860" s="10">
        <v>39</v>
      </c>
      <c r="E860" s="10">
        <v>185</v>
      </c>
      <c r="F860" s="10">
        <v>198</v>
      </c>
      <c r="G860" s="10">
        <v>489</v>
      </c>
      <c r="H860" s="10">
        <v>747</v>
      </c>
      <c r="I860" s="10" t="s">
        <v>1836</v>
      </c>
      <c r="J860" s="10" t="s">
        <v>197</v>
      </c>
      <c r="K860" s="10"/>
      <c r="L860" s="10"/>
      <c r="M860" s="10" t="s">
        <v>85</v>
      </c>
      <c r="N860" s="10"/>
      <c r="O860" s="10" t="s">
        <v>14</v>
      </c>
      <c r="P860" s="10" t="s">
        <v>1837</v>
      </c>
      <c r="Q860" s="10" t="s">
        <v>1838</v>
      </c>
      <c r="R860" s="10">
        <v>2014</v>
      </c>
      <c r="S860" s="10" t="s">
        <v>146</v>
      </c>
      <c r="T860" s="10"/>
      <c r="U860" s="10" t="s">
        <v>1839</v>
      </c>
      <c r="V860" s="10" t="s">
        <v>1840</v>
      </c>
      <c r="W860" s="10" t="s">
        <v>91</v>
      </c>
      <c r="X860" s="10" t="s">
        <v>126</v>
      </c>
      <c r="Y860" s="10" t="s">
        <v>127</v>
      </c>
      <c r="Z860" s="10" t="s">
        <v>128</v>
      </c>
      <c r="AA860" s="10" t="s">
        <v>1841</v>
      </c>
      <c r="AB860" s="10" t="s">
        <v>1842</v>
      </c>
      <c r="AC860" s="10" t="s">
        <v>1843</v>
      </c>
      <c r="AD860" s="10" t="s">
        <v>132</v>
      </c>
      <c r="AE860" s="10" t="s">
        <v>133</v>
      </c>
      <c r="AF860" s="10" t="s">
        <v>100</v>
      </c>
      <c r="AG860" s="10" t="s">
        <v>102</v>
      </c>
      <c r="AH860" s="10" t="s">
        <v>102</v>
      </c>
      <c r="AI860" s="10" t="s">
        <v>134</v>
      </c>
      <c r="AJ860" s="10" t="s">
        <v>135</v>
      </c>
      <c r="AK860" s="10"/>
      <c r="AL860" s="10"/>
      <c r="AM860" s="10" t="s">
        <v>136</v>
      </c>
      <c r="AN860" s="10" t="s">
        <v>137</v>
      </c>
      <c r="AO860" s="10"/>
      <c r="AP860" s="10"/>
      <c r="AQ860" s="10"/>
      <c r="AR860" s="10"/>
      <c r="AS860" s="10"/>
      <c r="AT860" s="10">
        <f>(44.94+81.4)/2</f>
        <v>63.17</v>
      </c>
      <c r="AU860" s="10">
        <f>(1.78+11.03)/2</f>
        <v>6.4049999999999994</v>
      </c>
      <c r="AV860" s="10">
        <v>180</v>
      </c>
      <c r="AW860" s="10" t="s">
        <v>108</v>
      </c>
      <c r="AX860" s="10">
        <v>16</v>
      </c>
      <c r="AY860" s="10" t="s">
        <v>103</v>
      </c>
      <c r="AZ860" s="10" t="s">
        <v>109</v>
      </c>
      <c r="BA860" s="10" t="s">
        <v>142</v>
      </c>
      <c r="BB860" s="10">
        <v>14</v>
      </c>
      <c r="BC860" s="10">
        <v>18</v>
      </c>
      <c r="BD860" s="10"/>
      <c r="BE860" s="10" t="s">
        <v>139</v>
      </c>
      <c r="BF860" s="10">
        <v>168</v>
      </c>
      <c r="BG860" s="10">
        <f>1/30</f>
        <v>3.3333333333333333E-2</v>
      </c>
      <c r="BH860" s="10"/>
      <c r="BI860" s="10"/>
      <c r="BJ860" s="10"/>
      <c r="BK860" s="10"/>
      <c r="BL860" s="10"/>
      <c r="BM860" s="10"/>
      <c r="BN860" s="10"/>
      <c r="BO860" s="10"/>
      <c r="BP860" s="10"/>
      <c r="BQ860" s="10"/>
      <c r="BR860" s="10"/>
      <c r="BS860" s="10"/>
      <c r="BT860" s="10"/>
      <c r="BU860" s="10" t="s">
        <v>1844</v>
      </c>
      <c r="BV860">
        <v>33.79</v>
      </c>
      <c r="BW860">
        <v>0.109544512</v>
      </c>
      <c r="BX860">
        <v>30</v>
      </c>
      <c r="BY860">
        <v>34.6</v>
      </c>
      <c r="BZ860">
        <v>0.164316767</v>
      </c>
      <c r="CA860">
        <v>30</v>
      </c>
      <c r="CB860" t="s">
        <v>113</v>
      </c>
      <c r="CC860" t="s">
        <v>1787</v>
      </c>
    </row>
    <row r="861" spans="1:81" x14ac:dyDescent="0.25">
      <c r="A861" s="10" t="s">
        <v>1788</v>
      </c>
      <c r="B861">
        <v>860</v>
      </c>
      <c r="C861" s="10">
        <v>42</v>
      </c>
      <c r="D861" s="10">
        <v>39</v>
      </c>
      <c r="E861" s="10">
        <v>185</v>
      </c>
      <c r="F861" s="10">
        <v>198</v>
      </c>
      <c r="G861" s="10">
        <v>489</v>
      </c>
      <c r="H861" s="10">
        <v>748</v>
      </c>
      <c r="I861" s="10" t="s">
        <v>1836</v>
      </c>
      <c r="J861" s="10" t="s">
        <v>197</v>
      </c>
      <c r="K861" s="10"/>
      <c r="L861" s="10"/>
      <c r="M861" s="10" t="s">
        <v>85</v>
      </c>
      <c r="N861" s="10"/>
      <c r="O861" s="10" t="s">
        <v>14</v>
      </c>
      <c r="P861" s="10" t="s">
        <v>1837</v>
      </c>
      <c r="Q861" s="10" t="s">
        <v>1838</v>
      </c>
      <c r="R861" s="10">
        <v>2014</v>
      </c>
      <c r="S861" s="10" t="s">
        <v>146</v>
      </c>
      <c r="T861" s="10"/>
      <c r="U861" s="10" t="s">
        <v>1839</v>
      </c>
      <c r="V861" s="10" t="s">
        <v>1840</v>
      </c>
      <c r="W861" s="10" t="s">
        <v>91</v>
      </c>
      <c r="X861" s="10" t="s">
        <v>126</v>
      </c>
      <c r="Y861" s="10" t="s">
        <v>127</v>
      </c>
      <c r="Z861" s="10" t="s">
        <v>128</v>
      </c>
      <c r="AA861" s="10" t="s">
        <v>1841</v>
      </c>
      <c r="AB861" s="10" t="s">
        <v>1842</v>
      </c>
      <c r="AC861" s="10" t="s">
        <v>1843</v>
      </c>
      <c r="AD861" s="10" t="s">
        <v>132</v>
      </c>
      <c r="AE861" s="10" t="s">
        <v>133</v>
      </c>
      <c r="AF861" s="10" t="s">
        <v>100</v>
      </c>
      <c r="AG861" s="10" t="s">
        <v>102</v>
      </c>
      <c r="AH861" s="10" t="s">
        <v>102</v>
      </c>
      <c r="AI861" s="10" t="s">
        <v>134</v>
      </c>
      <c r="AJ861" s="10" t="s">
        <v>135</v>
      </c>
      <c r="AK861" s="10"/>
      <c r="AL861" s="10"/>
      <c r="AM861" s="10" t="s">
        <v>136</v>
      </c>
      <c r="AN861" s="10" t="s">
        <v>137</v>
      </c>
      <c r="AO861" s="10"/>
      <c r="AP861" s="10"/>
      <c r="AQ861" s="10"/>
      <c r="AR861" s="10"/>
      <c r="AS861" s="10"/>
      <c r="AT861" s="10">
        <f>(81.4+84.3)/2</f>
        <v>82.85</v>
      </c>
      <c r="AU861" s="10">
        <f>(11.03+9.78)/2</f>
        <v>10.404999999999999</v>
      </c>
      <c r="AV861" s="10">
        <v>180</v>
      </c>
      <c r="AW861" s="10" t="s">
        <v>108</v>
      </c>
      <c r="AX861" s="10">
        <v>16</v>
      </c>
      <c r="AY861" s="10" t="s">
        <v>103</v>
      </c>
      <c r="AZ861" s="10" t="s">
        <v>109</v>
      </c>
      <c r="BA861" s="10" t="s">
        <v>142</v>
      </c>
      <c r="BB861" s="10">
        <v>18</v>
      </c>
      <c r="BC861" s="10">
        <v>22</v>
      </c>
      <c r="BD861" s="10"/>
      <c r="BE861" s="10" t="s">
        <v>139</v>
      </c>
      <c r="BF861" s="10">
        <v>168</v>
      </c>
      <c r="BG861" s="10">
        <f>1/30</f>
        <v>3.3333333333333333E-2</v>
      </c>
      <c r="BH861" s="10"/>
      <c r="BI861" s="10"/>
      <c r="BJ861" s="10"/>
      <c r="BK861" s="10"/>
      <c r="BL861" s="10"/>
      <c r="BM861" s="10"/>
      <c r="BN861" s="10"/>
      <c r="BO861" s="10"/>
      <c r="BP861" s="10"/>
      <c r="BQ861" s="10"/>
      <c r="BR861" s="10"/>
      <c r="BS861" s="10"/>
      <c r="BT861" s="10"/>
      <c r="BU861" s="10" t="s">
        <v>1844</v>
      </c>
      <c r="BV861">
        <v>34.6</v>
      </c>
      <c r="BW861">
        <v>0.164316767</v>
      </c>
      <c r="BX861">
        <v>30</v>
      </c>
      <c r="BY861">
        <v>34.799999999999997</v>
      </c>
      <c r="BZ861">
        <v>0.164316767</v>
      </c>
      <c r="CA861">
        <v>30</v>
      </c>
      <c r="CB861" t="s">
        <v>113</v>
      </c>
      <c r="CC861" t="s">
        <v>1787</v>
      </c>
    </row>
    <row r="862" spans="1:81" x14ac:dyDescent="0.25">
      <c r="A862" s="10" t="s">
        <v>1778</v>
      </c>
      <c r="B862">
        <v>861</v>
      </c>
      <c r="C862" s="10">
        <v>38</v>
      </c>
      <c r="D862" s="10">
        <v>35</v>
      </c>
      <c r="E862" s="10">
        <v>186</v>
      </c>
      <c r="F862" s="10">
        <v>199</v>
      </c>
      <c r="G862" s="10">
        <v>490</v>
      </c>
      <c r="H862" s="10">
        <v>749</v>
      </c>
      <c r="I862" s="10" t="s">
        <v>322</v>
      </c>
      <c r="J862" s="10" t="s">
        <v>691</v>
      </c>
      <c r="K862" s="10"/>
      <c r="L862" s="10"/>
      <c r="M862" s="10" t="s">
        <v>85</v>
      </c>
      <c r="N862" s="10"/>
      <c r="O862" s="10" t="s">
        <v>14</v>
      </c>
      <c r="P862" s="10" t="s">
        <v>1845</v>
      </c>
      <c r="Q862" s="10" t="s">
        <v>1846</v>
      </c>
      <c r="R862" s="10">
        <v>2020</v>
      </c>
      <c r="S862" s="10" t="s">
        <v>1602</v>
      </c>
      <c r="T862" s="10"/>
      <c r="U862" s="10" t="s">
        <v>1847</v>
      </c>
      <c r="V862" s="10" t="s">
        <v>1848</v>
      </c>
      <c r="W862" s="10" t="s">
        <v>91</v>
      </c>
      <c r="X862" s="10" t="s">
        <v>1849</v>
      </c>
      <c r="Y862" s="10" t="s">
        <v>1850</v>
      </c>
      <c r="Z862" s="10" t="s">
        <v>1851</v>
      </c>
      <c r="AA862" s="10" t="s">
        <v>1852</v>
      </c>
      <c r="AB862" s="10" t="s">
        <v>1853</v>
      </c>
      <c r="AC862" s="10" t="s">
        <v>1854</v>
      </c>
      <c r="AD862" s="10" t="s">
        <v>132</v>
      </c>
      <c r="AE862" s="10" t="s">
        <v>133</v>
      </c>
      <c r="AF862" s="10" t="s">
        <v>100</v>
      </c>
      <c r="AG862" s="10" t="s">
        <v>261</v>
      </c>
      <c r="AH862" s="10" t="s">
        <v>102</v>
      </c>
      <c r="AI862" s="10" t="s">
        <v>134</v>
      </c>
      <c r="AJ862" s="10" t="s">
        <v>135</v>
      </c>
      <c r="AK862" s="10"/>
      <c r="AL862" s="10"/>
      <c r="AM862" s="10" t="s">
        <v>178</v>
      </c>
      <c r="AN862" s="10" t="s">
        <v>106</v>
      </c>
      <c r="AO862" s="10">
        <v>-35.067999999999998</v>
      </c>
      <c r="AP862" s="10">
        <v>150.684</v>
      </c>
      <c r="AQ862" s="10"/>
      <c r="AR862" s="10" t="s">
        <v>107</v>
      </c>
      <c r="AS862" s="10">
        <v>2016</v>
      </c>
      <c r="AT862" s="10"/>
      <c r="AU862" s="10">
        <f>(82.63+79.6)/2</f>
        <v>81.114999999999995</v>
      </c>
      <c r="AV862" s="10">
        <v>14</v>
      </c>
      <c r="AW862" s="10" t="s">
        <v>108</v>
      </c>
      <c r="AX862" s="10">
        <v>18</v>
      </c>
      <c r="AY862" s="10" t="s">
        <v>103</v>
      </c>
      <c r="AZ862" s="10" t="s">
        <v>109</v>
      </c>
      <c r="BA862" s="10" t="s">
        <v>110</v>
      </c>
      <c r="BB862" s="10">
        <v>17.600000000000001</v>
      </c>
      <c r="BC862" s="10">
        <v>20.6</v>
      </c>
      <c r="BD862" s="10">
        <v>0.5</v>
      </c>
      <c r="BE862" s="10" t="s">
        <v>139</v>
      </c>
      <c r="BF862" s="10"/>
      <c r="BG862" s="10">
        <v>0.13</v>
      </c>
      <c r="BH862" s="10"/>
      <c r="BI862" s="10"/>
      <c r="BJ862" s="10"/>
      <c r="BK862" s="10"/>
      <c r="BL862" s="10"/>
      <c r="BM862" s="10"/>
      <c r="BN862" s="10"/>
      <c r="BO862" s="10"/>
      <c r="BP862" s="10"/>
      <c r="BQ862" s="10"/>
      <c r="BR862" s="10"/>
      <c r="BS862" s="10" t="s">
        <v>1855</v>
      </c>
      <c r="BT862" s="10"/>
      <c r="BU862" s="10" t="s">
        <v>1856</v>
      </c>
      <c r="BV862">
        <v>31.45</v>
      </c>
      <c r="BW862">
        <v>0.81332650299999998</v>
      </c>
      <c r="BX862">
        <v>15</v>
      </c>
      <c r="BY862">
        <v>33.39</v>
      </c>
      <c r="BZ862">
        <v>0.44</v>
      </c>
      <c r="CA862">
        <v>16</v>
      </c>
      <c r="CB862" t="s">
        <v>113</v>
      </c>
      <c r="CC862" t="s">
        <v>1787</v>
      </c>
    </row>
    <row r="863" spans="1:81" x14ac:dyDescent="0.25">
      <c r="A863" s="10" t="s">
        <v>1778</v>
      </c>
      <c r="B863">
        <v>862</v>
      </c>
      <c r="C863" s="10">
        <v>38</v>
      </c>
      <c r="D863" s="10">
        <v>35</v>
      </c>
      <c r="E863" s="10">
        <v>186</v>
      </c>
      <c r="F863" s="10">
        <v>199</v>
      </c>
      <c r="G863" s="10">
        <v>490</v>
      </c>
      <c r="H863" s="10">
        <v>750</v>
      </c>
      <c r="I863" s="10" t="s">
        <v>322</v>
      </c>
      <c r="J863" s="10" t="s">
        <v>691</v>
      </c>
      <c r="K863" s="10"/>
      <c r="L863" s="10"/>
      <c r="M863" s="10" t="s">
        <v>85</v>
      </c>
      <c r="N863" s="10"/>
      <c r="O863" s="10" t="s">
        <v>14</v>
      </c>
      <c r="P863" s="10" t="s">
        <v>1845</v>
      </c>
      <c r="Q863" s="10" t="s">
        <v>1846</v>
      </c>
      <c r="R863" s="10">
        <v>2020</v>
      </c>
      <c r="S863" s="10" t="s">
        <v>1602</v>
      </c>
      <c r="T863" s="10"/>
      <c r="U863" s="10" t="s">
        <v>1847</v>
      </c>
      <c r="V863" s="10" t="s">
        <v>1848</v>
      </c>
      <c r="W863" s="10" t="s">
        <v>91</v>
      </c>
      <c r="X863" s="10" t="s">
        <v>1849</v>
      </c>
      <c r="Y863" s="10" t="s">
        <v>1850</v>
      </c>
      <c r="Z863" s="10" t="s">
        <v>1851</v>
      </c>
      <c r="AA863" s="10" t="s">
        <v>1852</v>
      </c>
      <c r="AB863" s="10" t="s">
        <v>1853</v>
      </c>
      <c r="AC863" s="10" t="s">
        <v>1854</v>
      </c>
      <c r="AD863" s="10" t="s">
        <v>132</v>
      </c>
      <c r="AE863" s="10" t="s">
        <v>133</v>
      </c>
      <c r="AF863" s="10" t="s">
        <v>100</v>
      </c>
      <c r="AG863" s="10" t="s">
        <v>261</v>
      </c>
      <c r="AH863" s="10" t="s">
        <v>102</v>
      </c>
      <c r="AI863" s="10" t="s">
        <v>134</v>
      </c>
      <c r="AJ863" s="10" t="s">
        <v>135</v>
      </c>
      <c r="AK863" s="10"/>
      <c r="AL863" s="10"/>
      <c r="AM863" s="10" t="s">
        <v>178</v>
      </c>
      <c r="AN863" s="10" t="s">
        <v>106</v>
      </c>
      <c r="AO863" s="10">
        <v>-35.067999999999998</v>
      </c>
      <c r="AP863" s="10">
        <v>150.684</v>
      </c>
      <c r="AQ863" s="10"/>
      <c r="AR863" s="10" t="s">
        <v>107</v>
      </c>
      <c r="AS863" s="10">
        <v>2016</v>
      </c>
      <c r="AT863" s="10"/>
      <c r="AU863" s="10">
        <f>(66.98+79.6)/2</f>
        <v>73.289999999999992</v>
      </c>
      <c r="AV863" s="10">
        <v>14</v>
      </c>
      <c r="AW863" s="10" t="s">
        <v>108</v>
      </c>
      <c r="AX863" s="10">
        <v>18</v>
      </c>
      <c r="AY863" s="10" t="s">
        <v>103</v>
      </c>
      <c r="AZ863" s="10" t="s">
        <v>109</v>
      </c>
      <c r="BA863" s="10" t="s">
        <v>110</v>
      </c>
      <c r="BB863" s="10">
        <v>20.6</v>
      </c>
      <c r="BC863" s="10">
        <v>23.6</v>
      </c>
      <c r="BD863" s="10">
        <v>0.5</v>
      </c>
      <c r="BE863" s="10" t="s">
        <v>139</v>
      </c>
      <c r="BF863" s="10"/>
      <c r="BG863" s="10">
        <v>0.13</v>
      </c>
      <c r="BH863" s="10"/>
      <c r="BI863" s="10"/>
      <c r="BJ863" s="10"/>
      <c r="BK863" s="10"/>
      <c r="BL863" s="10"/>
      <c r="BM863" s="10"/>
      <c r="BN863" s="10"/>
      <c r="BO863" s="10"/>
      <c r="BP863" s="10"/>
      <c r="BQ863" s="10"/>
      <c r="BR863" s="10"/>
      <c r="BS863" s="10" t="s">
        <v>1855</v>
      </c>
      <c r="BT863" s="10"/>
      <c r="BU863" s="10" t="s">
        <v>1856</v>
      </c>
      <c r="BV863">
        <v>33.39</v>
      </c>
      <c r="BW863">
        <v>0.44</v>
      </c>
      <c r="BX863">
        <v>16</v>
      </c>
      <c r="BY863">
        <v>34.909999999999997</v>
      </c>
      <c r="BZ863">
        <v>0.298496231</v>
      </c>
      <c r="CA863">
        <v>11</v>
      </c>
      <c r="CB863" t="s">
        <v>113</v>
      </c>
      <c r="CC863" t="s">
        <v>1787</v>
      </c>
    </row>
    <row r="864" spans="1:81" x14ac:dyDescent="0.25">
      <c r="A864" s="10" t="s">
        <v>1778</v>
      </c>
      <c r="B864">
        <v>863</v>
      </c>
      <c r="C864" s="10">
        <v>38</v>
      </c>
      <c r="D864" s="10">
        <v>35</v>
      </c>
      <c r="E864" s="10">
        <v>187</v>
      </c>
      <c r="F864" s="10">
        <v>200</v>
      </c>
      <c r="G864" s="10">
        <v>491</v>
      </c>
      <c r="H864" s="10">
        <v>751</v>
      </c>
      <c r="I864" s="10"/>
      <c r="J864" s="10" t="s">
        <v>691</v>
      </c>
      <c r="K864" s="10"/>
      <c r="L864" s="10"/>
      <c r="M864" s="10" t="s">
        <v>85</v>
      </c>
      <c r="N864" s="10"/>
      <c r="O864" s="10" t="s">
        <v>14</v>
      </c>
      <c r="P864" s="10" t="s">
        <v>1845</v>
      </c>
      <c r="Q864" s="10" t="s">
        <v>1846</v>
      </c>
      <c r="R864" s="10">
        <v>2020</v>
      </c>
      <c r="S864" s="10" t="s">
        <v>1602</v>
      </c>
      <c r="T864" s="10"/>
      <c r="U864" s="10" t="s">
        <v>1847</v>
      </c>
      <c r="V864" s="10" t="s">
        <v>1848</v>
      </c>
      <c r="W864" s="10" t="s">
        <v>91</v>
      </c>
      <c r="X864" s="10" t="s">
        <v>1849</v>
      </c>
      <c r="Y864" s="10" t="s">
        <v>1850</v>
      </c>
      <c r="Z864" s="10" t="s">
        <v>1851</v>
      </c>
      <c r="AA864" s="10" t="s">
        <v>1852</v>
      </c>
      <c r="AB864" s="10" t="s">
        <v>1853</v>
      </c>
      <c r="AC864" s="10" t="s">
        <v>1854</v>
      </c>
      <c r="AD864" s="10" t="s">
        <v>132</v>
      </c>
      <c r="AE864" s="10" t="s">
        <v>133</v>
      </c>
      <c r="AF864" s="10" t="s">
        <v>100</v>
      </c>
      <c r="AG864" s="10" t="s">
        <v>261</v>
      </c>
      <c r="AH864" s="10" t="s">
        <v>102</v>
      </c>
      <c r="AI864" s="10" t="s">
        <v>134</v>
      </c>
      <c r="AJ864" s="10" t="s">
        <v>135</v>
      </c>
      <c r="AK864" s="10"/>
      <c r="AL864" s="10"/>
      <c r="AM864" s="10" t="s">
        <v>178</v>
      </c>
      <c r="AN864" s="10" t="s">
        <v>106</v>
      </c>
      <c r="AO864" s="10">
        <v>-35.140999999999998</v>
      </c>
      <c r="AP864" s="10">
        <v>138.465</v>
      </c>
      <c r="AQ864" s="10"/>
      <c r="AR864" s="10" t="s">
        <v>107</v>
      </c>
      <c r="AS864" s="10">
        <v>2016</v>
      </c>
      <c r="AT864" s="10"/>
      <c r="AU864" s="10">
        <f>(60.21+56.16)/2</f>
        <v>58.185000000000002</v>
      </c>
      <c r="AV864" s="10">
        <v>14</v>
      </c>
      <c r="AW864" s="10" t="s">
        <v>108</v>
      </c>
      <c r="AX864" s="10">
        <v>15.5</v>
      </c>
      <c r="AY864" s="10" t="s">
        <v>103</v>
      </c>
      <c r="AZ864" s="10" t="s">
        <v>109</v>
      </c>
      <c r="BA864" s="10" t="s">
        <v>110</v>
      </c>
      <c r="BB864" s="10">
        <v>17.600000000000001</v>
      </c>
      <c r="BC864" s="10">
        <v>20.6</v>
      </c>
      <c r="BD864" s="10">
        <v>0.5</v>
      </c>
      <c r="BE864" s="10" t="s">
        <v>139</v>
      </c>
      <c r="BF864" s="10"/>
      <c r="BG864" s="10">
        <v>0.13</v>
      </c>
      <c r="BH864" s="10"/>
      <c r="BI864" s="10"/>
      <c r="BJ864" s="10"/>
      <c r="BK864" s="10"/>
      <c r="BL864" s="10"/>
      <c r="BM864" s="10"/>
      <c r="BN864" s="10"/>
      <c r="BO864" s="10"/>
      <c r="BP864" s="10"/>
      <c r="BQ864" s="10"/>
      <c r="BR864" s="10"/>
      <c r="BS864" s="10" t="s">
        <v>1855</v>
      </c>
      <c r="BT864" s="10"/>
      <c r="BU864" s="10" t="s">
        <v>1856</v>
      </c>
      <c r="BV864">
        <v>31.57</v>
      </c>
      <c r="BW864">
        <v>0.44899888599999999</v>
      </c>
      <c r="BX864">
        <v>14</v>
      </c>
      <c r="BY864">
        <v>32.68</v>
      </c>
      <c r="BZ864">
        <v>0.44</v>
      </c>
      <c r="CA864">
        <v>16</v>
      </c>
      <c r="CB864" t="s">
        <v>113</v>
      </c>
      <c r="CC864" t="s">
        <v>1787</v>
      </c>
    </row>
    <row r="865" spans="1:81" x14ac:dyDescent="0.25">
      <c r="A865" s="10" t="s">
        <v>1778</v>
      </c>
      <c r="B865">
        <v>864</v>
      </c>
      <c r="C865" s="10">
        <v>37</v>
      </c>
      <c r="D865" s="10">
        <v>34</v>
      </c>
      <c r="E865" s="10">
        <v>188</v>
      </c>
      <c r="F865" s="10">
        <v>201</v>
      </c>
      <c r="G865" s="10">
        <v>492</v>
      </c>
      <c r="H865" s="10">
        <v>752</v>
      </c>
      <c r="I865" s="10" t="s">
        <v>322</v>
      </c>
      <c r="J865" s="10" t="s">
        <v>691</v>
      </c>
      <c r="K865" s="10"/>
      <c r="L865" s="10"/>
      <c r="M865" s="10" t="s">
        <v>85</v>
      </c>
      <c r="N865" s="10"/>
      <c r="O865" s="10" t="s">
        <v>14</v>
      </c>
      <c r="P865" s="10" t="s">
        <v>1857</v>
      </c>
      <c r="Q865" s="10" t="s">
        <v>1858</v>
      </c>
      <c r="R865" s="10">
        <v>1985</v>
      </c>
      <c r="S865" s="10" t="s">
        <v>1859</v>
      </c>
      <c r="T865" s="10"/>
      <c r="U865" s="10" t="s">
        <v>1860</v>
      </c>
      <c r="V865" s="10" t="s">
        <v>1861</v>
      </c>
      <c r="W865" s="10" t="s">
        <v>91</v>
      </c>
      <c r="X865" s="10" t="s">
        <v>508</v>
      </c>
      <c r="Y865" s="10" t="s">
        <v>509</v>
      </c>
      <c r="Z865" s="10" t="s">
        <v>510</v>
      </c>
      <c r="AA865" s="10" t="s">
        <v>511</v>
      </c>
      <c r="AB865" s="10" t="s">
        <v>512</v>
      </c>
      <c r="AC865" s="10" t="s">
        <v>513</v>
      </c>
      <c r="AD865" s="10" t="s">
        <v>132</v>
      </c>
      <c r="AE865" s="10" t="s">
        <v>514</v>
      </c>
      <c r="AF865" s="10" t="s">
        <v>100</v>
      </c>
      <c r="AG865" s="10" t="s">
        <v>261</v>
      </c>
      <c r="AH865" s="10" t="s">
        <v>102</v>
      </c>
      <c r="AI865" s="10" t="s">
        <v>134</v>
      </c>
      <c r="AJ865" s="10" t="s">
        <v>135</v>
      </c>
      <c r="AK865" s="10"/>
      <c r="AL865" s="10"/>
      <c r="AM865" s="10" t="s">
        <v>178</v>
      </c>
      <c r="AN865" s="10" t="s">
        <v>106</v>
      </c>
      <c r="AO865" s="10"/>
      <c r="AP865" s="10"/>
      <c r="AQ865" s="10"/>
      <c r="AR865" s="10"/>
      <c r="AS865" s="10"/>
      <c r="AT865" s="10"/>
      <c r="AU865" s="10"/>
      <c r="AV865" s="10"/>
      <c r="AW865" s="10" t="s">
        <v>108</v>
      </c>
      <c r="AX865" s="10">
        <v>27</v>
      </c>
      <c r="AY865" s="10" t="s">
        <v>134</v>
      </c>
      <c r="AZ865" s="10" t="s">
        <v>109</v>
      </c>
      <c r="BA865" s="10" t="s">
        <v>180</v>
      </c>
      <c r="BB865" s="10">
        <v>20</v>
      </c>
      <c r="BC865" s="10">
        <v>27</v>
      </c>
      <c r="BD865" s="10">
        <v>0.2</v>
      </c>
      <c r="BE865" s="10" t="s">
        <v>139</v>
      </c>
      <c r="BF865" s="10">
        <v>10</v>
      </c>
      <c r="BG865" s="10">
        <v>1</v>
      </c>
      <c r="BH865" s="10"/>
      <c r="BI865" s="10"/>
      <c r="BJ865" s="10"/>
      <c r="BK865" s="10"/>
      <c r="BL865" s="10"/>
      <c r="BM865" s="10"/>
      <c r="BN865" s="10"/>
      <c r="BO865" s="10"/>
      <c r="BP865" s="10">
        <v>8</v>
      </c>
      <c r="BQ865" s="10"/>
      <c r="BR865" s="10" t="s">
        <v>449</v>
      </c>
      <c r="BS865" s="10" t="s">
        <v>515</v>
      </c>
      <c r="BT865" s="10"/>
      <c r="BU865" s="10" t="s">
        <v>1862</v>
      </c>
      <c r="BV865">
        <v>41.9</v>
      </c>
      <c r="BW865">
        <v>6.3245552999999996E-2</v>
      </c>
      <c r="BX865">
        <v>10</v>
      </c>
      <c r="BY865">
        <v>43.1</v>
      </c>
      <c r="BZ865">
        <v>9.4868330000000001E-2</v>
      </c>
      <c r="CA865">
        <v>10</v>
      </c>
      <c r="CB865" t="s">
        <v>113</v>
      </c>
      <c r="CC865" t="s">
        <v>1787</v>
      </c>
    </row>
    <row r="866" spans="1:81" x14ac:dyDescent="0.25">
      <c r="A866" s="10" t="s">
        <v>1778</v>
      </c>
      <c r="B866">
        <v>865</v>
      </c>
      <c r="C866" s="10">
        <v>37</v>
      </c>
      <c r="D866" s="10">
        <v>34</v>
      </c>
      <c r="E866" s="10">
        <v>188</v>
      </c>
      <c r="F866" s="10">
        <v>201</v>
      </c>
      <c r="G866" s="10">
        <v>492</v>
      </c>
      <c r="H866" s="10">
        <v>753</v>
      </c>
      <c r="I866" s="10" t="s">
        <v>322</v>
      </c>
      <c r="J866" s="10" t="s">
        <v>691</v>
      </c>
      <c r="K866" s="10"/>
      <c r="L866" s="10"/>
      <c r="M866" s="10" t="s">
        <v>85</v>
      </c>
      <c r="N866" s="10"/>
      <c r="O866" s="10" t="s">
        <v>14</v>
      </c>
      <c r="P866" s="10" t="s">
        <v>1857</v>
      </c>
      <c r="Q866" s="10" t="s">
        <v>1858</v>
      </c>
      <c r="R866" s="10">
        <v>1985</v>
      </c>
      <c r="S866" s="10" t="s">
        <v>1859</v>
      </c>
      <c r="T866" s="10"/>
      <c r="U866" s="10" t="s">
        <v>1860</v>
      </c>
      <c r="V866" s="10" t="s">
        <v>1861</v>
      </c>
      <c r="W866" s="10" t="s">
        <v>91</v>
      </c>
      <c r="X866" s="10" t="s">
        <v>508</v>
      </c>
      <c r="Y866" s="10" t="s">
        <v>509</v>
      </c>
      <c r="Z866" s="10" t="s">
        <v>510</v>
      </c>
      <c r="AA866" s="10" t="s">
        <v>511</v>
      </c>
      <c r="AB866" s="10" t="s">
        <v>512</v>
      </c>
      <c r="AC866" s="10" t="s">
        <v>513</v>
      </c>
      <c r="AD866" s="10" t="s">
        <v>132</v>
      </c>
      <c r="AE866" s="10" t="s">
        <v>514</v>
      </c>
      <c r="AF866" s="10" t="s">
        <v>100</v>
      </c>
      <c r="AG866" s="10" t="s">
        <v>261</v>
      </c>
      <c r="AH866" s="10" t="s">
        <v>102</v>
      </c>
      <c r="AI866" s="10" t="s">
        <v>134</v>
      </c>
      <c r="AJ866" s="10" t="s">
        <v>135</v>
      </c>
      <c r="AK866" s="10"/>
      <c r="AL866" s="10"/>
      <c r="AM866" s="10" t="s">
        <v>178</v>
      </c>
      <c r="AN866" s="10" t="s">
        <v>106</v>
      </c>
      <c r="AO866" s="10"/>
      <c r="AP866" s="10"/>
      <c r="AQ866" s="10"/>
      <c r="AR866" s="10"/>
      <c r="AS866" s="10"/>
      <c r="AT866" s="10"/>
      <c r="AU866" s="10"/>
      <c r="AV866" s="10"/>
      <c r="AW866" s="10" t="s">
        <v>108</v>
      </c>
      <c r="AX866" s="10">
        <v>27</v>
      </c>
      <c r="AY866" s="10" t="s">
        <v>134</v>
      </c>
      <c r="AZ866" s="10" t="s">
        <v>109</v>
      </c>
      <c r="BA866" s="10" t="s">
        <v>180</v>
      </c>
      <c r="BB866" s="10">
        <v>27</v>
      </c>
      <c r="BC866" s="10">
        <v>35</v>
      </c>
      <c r="BD866" s="10">
        <v>0.2</v>
      </c>
      <c r="BE866" s="10" t="s">
        <v>139</v>
      </c>
      <c r="BF866" s="10">
        <v>10</v>
      </c>
      <c r="BG866" s="10">
        <v>1</v>
      </c>
      <c r="BH866" s="10"/>
      <c r="BI866" s="10"/>
      <c r="BJ866" s="10"/>
      <c r="BK866" s="10"/>
      <c r="BL866" s="10"/>
      <c r="BM866" s="10"/>
      <c r="BN866" s="10"/>
      <c r="BO866" s="10"/>
      <c r="BP866" s="10">
        <v>8</v>
      </c>
      <c r="BQ866" s="10"/>
      <c r="BR866" s="10" t="s">
        <v>449</v>
      </c>
      <c r="BS866" s="10" t="s">
        <v>515</v>
      </c>
      <c r="BT866" s="10"/>
      <c r="BU866" s="10" t="s">
        <v>1862</v>
      </c>
      <c r="BV866">
        <v>43.1</v>
      </c>
      <c r="BW866">
        <v>9.4868330000000001E-2</v>
      </c>
      <c r="BX866">
        <v>10</v>
      </c>
      <c r="BY866">
        <v>44.8</v>
      </c>
      <c r="BZ866">
        <v>9.4868330000000001E-2</v>
      </c>
      <c r="CA866">
        <v>10</v>
      </c>
      <c r="CB866" t="s">
        <v>113</v>
      </c>
      <c r="CC866" t="s">
        <v>1787</v>
      </c>
    </row>
    <row r="867" spans="1:81" x14ac:dyDescent="0.25">
      <c r="A867" s="10" t="s">
        <v>1778</v>
      </c>
      <c r="B867">
        <v>866</v>
      </c>
      <c r="C867" s="10">
        <v>37</v>
      </c>
      <c r="D867" s="10">
        <v>34</v>
      </c>
      <c r="E867" s="10">
        <v>188</v>
      </c>
      <c r="F867" s="10">
        <v>201</v>
      </c>
      <c r="G867" s="10">
        <v>493</v>
      </c>
      <c r="H867" s="10">
        <v>754</v>
      </c>
      <c r="I867" s="10" t="s">
        <v>322</v>
      </c>
      <c r="J867" s="10" t="s">
        <v>691</v>
      </c>
      <c r="K867" s="10"/>
      <c r="L867" s="10"/>
      <c r="M867" s="10" t="s">
        <v>85</v>
      </c>
      <c r="N867" s="10"/>
      <c r="O867" s="10" t="s">
        <v>14</v>
      </c>
      <c r="P867" s="10" t="s">
        <v>1857</v>
      </c>
      <c r="Q867" s="10" t="s">
        <v>1858</v>
      </c>
      <c r="R867" s="10">
        <v>1985</v>
      </c>
      <c r="S867" s="10" t="s">
        <v>1859</v>
      </c>
      <c r="T867" s="10"/>
      <c r="U867" s="10" t="s">
        <v>1860</v>
      </c>
      <c r="V867" s="10" t="s">
        <v>1861</v>
      </c>
      <c r="W867" s="10" t="s">
        <v>91</v>
      </c>
      <c r="X867" s="10" t="s">
        <v>508</v>
      </c>
      <c r="Y867" s="10" t="s">
        <v>509</v>
      </c>
      <c r="Z867" s="10" t="s">
        <v>510</v>
      </c>
      <c r="AA867" s="10" t="s">
        <v>511</v>
      </c>
      <c r="AB867" s="10" t="s">
        <v>512</v>
      </c>
      <c r="AC867" s="10" t="s">
        <v>513</v>
      </c>
      <c r="AD867" s="10" t="s">
        <v>132</v>
      </c>
      <c r="AE867" s="10" t="s">
        <v>514</v>
      </c>
      <c r="AF867" s="10" t="s">
        <v>100</v>
      </c>
      <c r="AG867" s="10" t="s">
        <v>261</v>
      </c>
      <c r="AH867" s="10" t="s">
        <v>102</v>
      </c>
      <c r="AI867" s="10" t="s">
        <v>134</v>
      </c>
      <c r="AJ867" s="10" t="s">
        <v>135</v>
      </c>
      <c r="AK867" s="10"/>
      <c r="AL867" s="10"/>
      <c r="AM867" s="10" t="s">
        <v>178</v>
      </c>
      <c r="AN867" s="10" t="s">
        <v>106</v>
      </c>
      <c r="AO867" s="10"/>
      <c r="AP867" s="10"/>
      <c r="AQ867" s="10"/>
      <c r="AR867" s="10"/>
      <c r="AS867" s="10"/>
      <c r="AT867" s="10"/>
      <c r="AU867" s="10"/>
      <c r="AV867" s="10"/>
      <c r="AW867" s="10" t="s">
        <v>108</v>
      </c>
      <c r="AX867" s="10">
        <v>27</v>
      </c>
      <c r="AY867" s="10" t="s">
        <v>134</v>
      </c>
      <c r="AZ867" s="10" t="s">
        <v>109</v>
      </c>
      <c r="BA867" s="10" t="s">
        <v>180</v>
      </c>
      <c r="BB867" s="10">
        <v>20</v>
      </c>
      <c r="BC867" s="10">
        <v>27</v>
      </c>
      <c r="BD867" s="10">
        <v>0.2</v>
      </c>
      <c r="BE867" s="10" t="s">
        <v>139</v>
      </c>
      <c r="BF867" s="10">
        <v>10</v>
      </c>
      <c r="BG867" s="10">
        <v>1</v>
      </c>
      <c r="BH867" s="10"/>
      <c r="BI867" s="10"/>
      <c r="BJ867" s="10"/>
      <c r="BK867" s="10"/>
      <c r="BL867" s="10"/>
      <c r="BM867" s="10"/>
      <c r="BN867" s="10"/>
      <c r="BO867" s="10"/>
      <c r="BP867" s="10">
        <v>16</v>
      </c>
      <c r="BQ867" s="10"/>
      <c r="BR867" s="10" t="s">
        <v>449</v>
      </c>
      <c r="BS867" s="10" t="s">
        <v>515</v>
      </c>
      <c r="BT867" s="10"/>
      <c r="BU867" s="10" t="s">
        <v>1862</v>
      </c>
      <c r="BV867">
        <v>42.1</v>
      </c>
      <c r="BW867">
        <v>6.3245552999999996E-2</v>
      </c>
      <c r="BX867">
        <v>10</v>
      </c>
      <c r="BY867">
        <v>43.1</v>
      </c>
      <c r="BZ867">
        <v>9.4868330000000001E-2</v>
      </c>
      <c r="CA867">
        <v>10</v>
      </c>
      <c r="CB867" t="s">
        <v>113</v>
      </c>
      <c r="CC867" t="s">
        <v>1787</v>
      </c>
    </row>
    <row r="868" spans="1:81" x14ac:dyDescent="0.25">
      <c r="A868" s="10" t="s">
        <v>1778</v>
      </c>
      <c r="B868">
        <v>867</v>
      </c>
      <c r="C868" s="10">
        <v>37</v>
      </c>
      <c r="D868" s="10">
        <v>34</v>
      </c>
      <c r="E868" s="10">
        <v>188</v>
      </c>
      <c r="F868" s="10">
        <v>201</v>
      </c>
      <c r="G868" s="10">
        <v>493</v>
      </c>
      <c r="H868" s="10">
        <v>755</v>
      </c>
      <c r="I868" s="10" t="s">
        <v>322</v>
      </c>
      <c r="J868" s="10" t="s">
        <v>691</v>
      </c>
      <c r="K868" s="10"/>
      <c r="L868" s="10"/>
      <c r="M868" s="10" t="s">
        <v>85</v>
      </c>
      <c r="N868" s="10"/>
      <c r="O868" s="10" t="s">
        <v>14</v>
      </c>
      <c r="P868" s="10" t="s">
        <v>1857</v>
      </c>
      <c r="Q868" s="10" t="s">
        <v>1858</v>
      </c>
      <c r="R868" s="10">
        <v>1985</v>
      </c>
      <c r="S868" s="10" t="s">
        <v>1859</v>
      </c>
      <c r="T868" s="10"/>
      <c r="U868" s="10" t="s">
        <v>1860</v>
      </c>
      <c r="V868" s="10" t="s">
        <v>1861</v>
      </c>
      <c r="W868" s="10" t="s">
        <v>91</v>
      </c>
      <c r="X868" s="10" t="s">
        <v>508</v>
      </c>
      <c r="Y868" s="10" t="s">
        <v>509</v>
      </c>
      <c r="Z868" s="10" t="s">
        <v>510</v>
      </c>
      <c r="AA868" s="10" t="s">
        <v>511</v>
      </c>
      <c r="AB868" s="10" t="s">
        <v>512</v>
      </c>
      <c r="AC868" s="10" t="s">
        <v>513</v>
      </c>
      <c r="AD868" s="10" t="s">
        <v>132</v>
      </c>
      <c r="AE868" s="10" t="s">
        <v>514</v>
      </c>
      <c r="AF868" s="10" t="s">
        <v>100</v>
      </c>
      <c r="AG868" s="10" t="s">
        <v>261</v>
      </c>
      <c r="AH868" s="10" t="s">
        <v>102</v>
      </c>
      <c r="AI868" s="10" t="s">
        <v>134</v>
      </c>
      <c r="AJ868" s="10" t="s">
        <v>135</v>
      </c>
      <c r="AK868" s="10"/>
      <c r="AL868" s="10"/>
      <c r="AM868" s="10" t="s">
        <v>178</v>
      </c>
      <c r="AN868" s="10" t="s">
        <v>106</v>
      </c>
      <c r="AO868" s="10"/>
      <c r="AP868" s="10"/>
      <c r="AQ868" s="10"/>
      <c r="AR868" s="10"/>
      <c r="AS868" s="10"/>
      <c r="AT868" s="10"/>
      <c r="AU868" s="10"/>
      <c r="AV868" s="10"/>
      <c r="AW868" s="10" t="s">
        <v>108</v>
      </c>
      <c r="AX868" s="10">
        <v>27</v>
      </c>
      <c r="AY868" s="10" t="s">
        <v>134</v>
      </c>
      <c r="AZ868" s="10" t="s">
        <v>109</v>
      </c>
      <c r="BA868" s="10" t="s">
        <v>180</v>
      </c>
      <c r="BB868" s="10">
        <v>27</v>
      </c>
      <c r="BC868" s="10">
        <v>35</v>
      </c>
      <c r="BD868" s="10">
        <v>0.2</v>
      </c>
      <c r="BE868" s="10" t="s">
        <v>139</v>
      </c>
      <c r="BF868" s="10">
        <v>10</v>
      </c>
      <c r="BG868" s="10">
        <v>1</v>
      </c>
      <c r="BH868" s="10"/>
      <c r="BI868" s="10"/>
      <c r="BJ868" s="10"/>
      <c r="BK868" s="10"/>
      <c r="BL868" s="10"/>
      <c r="BM868" s="10"/>
      <c r="BN868" s="10"/>
      <c r="BO868" s="10"/>
      <c r="BP868" s="10">
        <v>16</v>
      </c>
      <c r="BQ868" s="10"/>
      <c r="BR868" s="10" t="s">
        <v>449</v>
      </c>
      <c r="BS868" s="10" t="s">
        <v>515</v>
      </c>
      <c r="BT868" s="10"/>
      <c r="BU868" s="10" t="s">
        <v>1862</v>
      </c>
      <c r="BV868">
        <v>43.1</v>
      </c>
      <c r="BW868">
        <v>9.4868330000000001E-2</v>
      </c>
      <c r="BX868">
        <v>10</v>
      </c>
      <c r="BY868">
        <v>45</v>
      </c>
      <c r="BZ868">
        <v>6.3245552999999996E-2</v>
      </c>
      <c r="CA868">
        <v>10</v>
      </c>
      <c r="CB868" t="s">
        <v>113</v>
      </c>
      <c r="CC868" t="s">
        <v>1787</v>
      </c>
    </row>
    <row r="869" spans="1:81" x14ac:dyDescent="0.25">
      <c r="A869" s="10" t="s">
        <v>1788</v>
      </c>
      <c r="B869">
        <v>868</v>
      </c>
      <c r="C869" s="10">
        <v>37</v>
      </c>
      <c r="D869" s="10">
        <v>34</v>
      </c>
      <c r="E869" s="10">
        <v>188</v>
      </c>
      <c r="F869" s="10">
        <v>201</v>
      </c>
      <c r="G869" s="10">
        <v>494</v>
      </c>
      <c r="H869" s="10">
        <v>756</v>
      </c>
      <c r="I869" s="10" t="s">
        <v>322</v>
      </c>
      <c r="J869" s="10" t="s">
        <v>413</v>
      </c>
      <c r="K869" s="10"/>
      <c r="L869" s="10" t="s">
        <v>1863</v>
      </c>
      <c r="M869" s="10" t="s">
        <v>85</v>
      </c>
      <c r="N869" s="10"/>
      <c r="O869" s="10" t="s">
        <v>14</v>
      </c>
      <c r="P869" s="10" t="s">
        <v>1857</v>
      </c>
      <c r="Q869" s="10" t="s">
        <v>1858</v>
      </c>
      <c r="R869" s="10">
        <v>1985</v>
      </c>
      <c r="S869" s="10" t="s">
        <v>1859</v>
      </c>
      <c r="T869" s="10"/>
      <c r="U869" s="10" t="s">
        <v>1860</v>
      </c>
      <c r="V869" s="10" t="s">
        <v>1861</v>
      </c>
      <c r="W869" s="10" t="s">
        <v>91</v>
      </c>
      <c r="X869" s="10" t="s">
        <v>508</v>
      </c>
      <c r="Y869" s="10" t="s">
        <v>509</v>
      </c>
      <c r="Z869" s="10" t="s">
        <v>510</v>
      </c>
      <c r="AA869" s="10" t="s">
        <v>511</v>
      </c>
      <c r="AB869" s="10" t="s">
        <v>512</v>
      </c>
      <c r="AC869" s="10" t="s">
        <v>513</v>
      </c>
      <c r="AD869" s="10" t="s">
        <v>132</v>
      </c>
      <c r="AE869" s="10" t="s">
        <v>514</v>
      </c>
      <c r="AF869" s="10" t="s">
        <v>100</v>
      </c>
      <c r="AG869" s="10" t="s">
        <v>261</v>
      </c>
      <c r="AH869" s="10" t="s">
        <v>102</v>
      </c>
      <c r="AI869" s="10" t="s">
        <v>134</v>
      </c>
      <c r="AJ869" s="10" t="s">
        <v>135</v>
      </c>
      <c r="AK869" s="10"/>
      <c r="AL869" s="10"/>
      <c r="AM869" s="10" t="s">
        <v>178</v>
      </c>
      <c r="AN869" s="10" t="s">
        <v>106</v>
      </c>
      <c r="AO869" s="10"/>
      <c r="AP869" s="10"/>
      <c r="AQ869" s="10"/>
      <c r="AR869" s="10"/>
      <c r="AS869" s="10"/>
      <c r="AT869" s="10"/>
      <c r="AU869" s="10"/>
      <c r="AV869" s="10"/>
      <c r="AW869" s="10" t="s">
        <v>108</v>
      </c>
      <c r="AX869" s="10">
        <v>27</v>
      </c>
      <c r="AY869" s="10" t="s">
        <v>134</v>
      </c>
      <c r="AZ869" s="10" t="s">
        <v>109</v>
      </c>
      <c r="BA869" s="10" t="s">
        <v>180</v>
      </c>
      <c r="BB869" s="10">
        <v>20</v>
      </c>
      <c r="BC869" s="10">
        <v>27</v>
      </c>
      <c r="BD869" s="10">
        <v>0.2</v>
      </c>
      <c r="BE869" s="10" t="s">
        <v>139</v>
      </c>
      <c r="BF869" s="10">
        <v>10</v>
      </c>
      <c r="BG869" s="10">
        <v>1</v>
      </c>
      <c r="BH869" s="10"/>
      <c r="BI869" s="10"/>
      <c r="BJ869" s="10"/>
      <c r="BK869" s="10"/>
      <c r="BL869" s="10"/>
      <c r="BM869" s="10"/>
      <c r="BN869" s="10"/>
      <c r="BO869" s="10"/>
      <c r="BP869" s="10"/>
      <c r="BQ869" s="10"/>
      <c r="BR869" s="10" t="s">
        <v>449</v>
      </c>
      <c r="BS869" s="10" t="s">
        <v>515</v>
      </c>
      <c r="BT869" s="10"/>
      <c r="BU869" s="10" t="s">
        <v>1864</v>
      </c>
      <c r="BV869">
        <v>42.18181818</v>
      </c>
      <c r="BW869">
        <v>0.47913297900000001</v>
      </c>
      <c r="BX869">
        <v>10</v>
      </c>
      <c r="BY869">
        <v>42.666666669999998</v>
      </c>
      <c r="BZ869">
        <v>0.52704627699999995</v>
      </c>
      <c r="CA869">
        <v>10</v>
      </c>
      <c r="CB869" t="s">
        <v>113</v>
      </c>
      <c r="CC869" t="s">
        <v>1865</v>
      </c>
    </row>
    <row r="870" spans="1:81" x14ac:dyDescent="0.25">
      <c r="A870" s="10" t="s">
        <v>1788</v>
      </c>
      <c r="B870">
        <v>869</v>
      </c>
      <c r="C870" s="10">
        <v>37</v>
      </c>
      <c r="D870" s="10">
        <v>34</v>
      </c>
      <c r="E870" s="10">
        <v>188</v>
      </c>
      <c r="F870" s="10">
        <v>201</v>
      </c>
      <c r="G870" s="10">
        <v>494</v>
      </c>
      <c r="H870" s="10">
        <v>757</v>
      </c>
      <c r="I870" s="10" t="s">
        <v>322</v>
      </c>
      <c r="J870" s="10" t="s">
        <v>413</v>
      </c>
      <c r="K870" s="10"/>
      <c r="L870" s="10" t="s">
        <v>1863</v>
      </c>
      <c r="M870" s="10" t="s">
        <v>85</v>
      </c>
      <c r="N870" s="10"/>
      <c r="O870" s="10" t="s">
        <v>14</v>
      </c>
      <c r="P870" s="10" t="s">
        <v>1857</v>
      </c>
      <c r="Q870" s="10" t="s">
        <v>1858</v>
      </c>
      <c r="R870" s="10">
        <v>1985</v>
      </c>
      <c r="S870" s="10" t="s">
        <v>1859</v>
      </c>
      <c r="T870" s="10"/>
      <c r="U870" s="10" t="s">
        <v>1860</v>
      </c>
      <c r="V870" s="10" t="s">
        <v>1861</v>
      </c>
      <c r="W870" s="10" t="s">
        <v>91</v>
      </c>
      <c r="X870" s="10" t="s">
        <v>508</v>
      </c>
      <c r="Y870" s="10" t="s">
        <v>509</v>
      </c>
      <c r="Z870" s="10" t="s">
        <v>510</v>
      </c>
      <c r="AA870" s="10" t="s">
        <v>511</v>
      </c>
      <c r="AB870" s="10" t="s">
        <v>512</v>
      </c>
      <c r="AC870" s="10" t="s">
        <v>513</v>
      </c>
      <c r="AD870" s="10" t="s">
        <v>132</v>
      </c>
      <c r="AE870" s="10" t="s">
        <v>514</v>
      </c>
      <c r="AF870" s="10" t="s">
        <v>100</v>
      </c>
      <c r="AG870" s="10" t="s">
        <v>261</v>
      </c>
      <c r="AH870" s="10" t="s">
        <v>102</v>
      </c>
      <c r="AI870" s="10" t="s">
        <v>134</v>
      </c>
      <c r="AJ870" s="10" t="s">
        <v>135</v>
      </c>
      <c r="AK870" s="10"/>
      <c r="AL870" s="10"/>
      <c r="AM870" s="10" t="s">
        <v>178</v>
      </c>
      <c r="AN870" s="10" t="s">
        <v>106</v>
      </c>
      <c r="AO870" s="10"/>
      <c r="AP870" s="10"/>
      <c r="AQ870" s="10"/>
      <c r="AR870" s="10"/>
      <c r="AS870" s="10"/>
      <c r="AT870" s="10"/>
      <c r="AU870" s="10"/>
      <c r="AV870" s="10"/>
      <c r="AW870" s="10" t="s">
        <v>108</v>
      </c>
      <c r="AX870" s="10">
        <v>27</v>
      </c>
      <c r="AY870" s="10" t="s">
        <v>134</v>
      </c>
      <c r="AZ870" s="10" t="s">
        <v>109</v>
      </c>
      <c r="BA870" s="10" t="s">
        <v>180</v>
      </c>
      <c r="BB870" s="10">
        <v>27</v>
      </c>
      <c r="BC870" s="10">
        <v>35</v>
      </c>
      <c r="BD870" s="10">
        <v>0.2</v>
      </c>
      <c r="BE870" s="10" t="s">
        <v>139</v>
      </c>
      <c r="BF870" s="10">
        <v>10</v>
      </c>
      <c r="BG870" s="10">
        <v>1</v>
      </c>
      <c r="BH870" s="10"/>
      <c r="BI870" s="10"/>
      <c r="BJ870" s="10"/>
      <c r="BK870" s="10"/>
      <c r="BL870" s="10"/>
      <c r="BM870" s="10"/>
      <c r="BN870" s="10"/>
      <c r="BO870" s="10"/>
      <c r="BP870" s="10"/>
      <c r="BQ870" s="10"/>
      <c r="BR870" s="10" t="s">
        <v>449</v>
      </c>
      <c r="BS870" s="10" t="s">
        <v>515</v>
      </c>
      <c r="BT870" s="10"/>
      <c r="BU870" s="10" t="s">
        <v>1864</v>
      </c>
      <c r="BV870">
        <v>42.666666669999998</v>
      </c>
      <c r="BW870">
        <v>0.52704627699999995</v>
      </c>
      <c r="BX870">
        <v>10</v>
      </c>
      <c r="BY870">
        <v>44.01010101</v>
      </c>
      <c r="BZ870">
        <v>0.46316188000000003</v>
      </c>
      <c r="CA870">
        <v>10</v>
      </c>
      <c r="CB870" t="s">
        <v>113</v>
      </c>
      <c r="CC870" t="s">
        <v>1865</v>
      </c>
    </row>
    <row r="871" spans="1:81" x14ac:dyDescent="0.25">
      <c r="A871" s="10" t="s">
        <v>1788</v>
      </c>
      <c r="B871">
        <v>870</v>
      </c>
      <c r="C871" s="10">
        <v>37</v>
      </c>
      <c r="D871" s="10">
        <v>34</v>
      </c>
      <c r="E871" s="10">
        <v>188</v>
      </c>
      <c r="F871" s="10">
        <v>201</v>
      </c>
      <c r="G871" s="10">
        <v>495</v>
      </c>
      <c r="H871" s="10">
        <v>758</v>
      </c>
      <c r="I871" s="10"/>
      <c r="J871" s="10" t="s">
        <v>413</v>
      </c>
      <c r="K871" s="10"/>
      <c r="L871" s="10" t="s">
        <v>1863</v>
      </c>
      <c r="M871" s="10" t="s">
        <v>85</v>
      </c>
      <c r="N871" s="10"/>
      <c r="O871" s="10" t="s">
        <v>14</v>
      </c>
      <c r="P871" s="10" t="s">
        <v>1857</v>
      </c>
      <c r="Q871" s="10" t="s">
        <v>1858</v>
      </c>
      <c r="R871" s="10">
        <v>1985</v>
      </c>
      <c r="S871" s="10" t="s">
        <v>1859</v>
      </c>
      <c r="T871" s="10"/>
      <c r="U871" s="10" t="s">
        <v>1860</v>
      </c>
      <c r="V871" s="10" t="s">
        <v>1861</v>
      </c>
      <c r="W871" s="10" t="s">
        <v>91</v>
      </c>
      <c r="X871" s="10" t="s">
        <v>508</v>
      </c>
      <c r="Y871" s="10" t="s">
        <v>509</v>
      </c>
      <c r="Z871" s="10" t="s">
        <v>510</v>
      </c>
      <c r="AA871" s="10" t="s">
        <v>511</v>
      </c>
      <c r="AB871" s="10" t="s">
        <v>512</v>
      </c>
      <c r="AC871" s="10" t="s">
        <v>513</v>
      </c>
      <c r="AD871" s="10" t="s">
        <v>132</v>
      </c>
      <c r="AE871" s="10" t="s">
        <v>514</v>
      </c>
      <c r="AF871" s="10" t="s">
        <v>100</v>
      </c>
      <c r="AG871" s="10" t="s">
        <v>261</v>
      </c>
      <c r="AH871" s="10" t="s">
        <v>102</v>
      </c>
      <c r="AI871" s="10" t="s">
        <v>134</v>
      </c>
      <c r="AJ871" s="10" t="s">
        <v>135</v>
      </c>
      <c r="AK871" s="10"/>
      <c r="AL871" s="10"/>
      <c r="AM871" s="10" t="s">
        <v>178</v>
      </c>
      <c r="AN871" s="10" t="s">
        <v>106</v>
      </c>
      <c r="AO871" s="10"/>
      <c r="AP871" s="10"/>
      <c r="AQ871" s="10"/>
      <c r="AR871" s="10"/>
      <c r="AS871" s="10"/>
      <c r="AT871" s="10"/>
      <c r="AU871" s="10"/>
      <c r="AV871" s="10"/>
      <c r="AW871" s="10" t="s">
        <v>108</v>
      </c>
      <c r="AX871" s="10">
        <v>27</v>
      </c>
      <c r="AY871" s="10" t="s">
        <v>103</v>
      </c>
      <c r="AZ871" s="10" t="s">
        <v>109</v>
      </c>
      <c r="BA871" s="10" t="s">
        <v>180</v>
      </c>
      <c r="BB871" s="10">
        <v>20</v>
      </c>
      <c r="BC871" s="10">
        <v>35</v>
      </c>
      <c r="BD871" s="10">
        <v>0.2</v>
      </c>
      <c r="BE871" s="10" t="s">
        <v>139</v>
      </c>
      <c r="BF871" s="10">
        <v>10</v>
      </c>
      <c r="BG871" s="10">
        <v>1</v>
      </c>
      <c r="BH871" s="10"/>
      <c r="BI871" s="10"/>
      <c r="BJ871" s="10"/>
      <c r="BK871" s="10"/>
      <c r="BL871" s="10"/>
      <c r="BM871" s="10"/>
      <c r="BN871" s="10"/>
      <c r="BO871" s="10"/>
      <c r="BP871" s="10"/>
      <c r="BQ871" s="10"/>
      <c r="BR871" s="10" t="s">
        <v>69</v>
      </c>
      <c r="BS871" s="10"/>
      <c r="BT871" s="10"/>
      <c r="BU871" s="10" t="s">
        <v>1866</v>
      </c>
      <c r="BV871">
        <v>42.020202019999999</v>
      </c>
      <c r="BW871">
        <v>0.41524858199999998</v>
      </c>
      <c r="BX871">
        <v>10</v>
      </c>
      <c r="BY871">
        <v>43.878787879999997</v>
      </c>
      <c r="BZ871">
        <v>0.34337863499999999</v>
      </c>
      <c r="CA871">
        <v>10</v>
      </c>
      <c r="CB871" t="s">
        <v>113</v>
      </c>
      <c r="CC871" t="s">
        <v>1865</v>
      </c>
    </row>
    <row r="872" spans="1:81" x14ac:dyDescent="0.25">
      <c r="A872" s="10" t="s">
        <v>1788</v>
      </c>
      <c r="B872">
        <v>871</v>
      </c>
      <c r="C872" s="10">
        <v>37</v>
      </c>
      <c r="D872" s="10">
        <v>34</v>
      </c>
      <c r="E872" s="10">
        <v>188</v>
      </c>
      <c r="F872" s="10">
        <v>201</v>
      </c>
      <c r="G872" s="10">
        <v>496</v>
      </c>
      <c r="H872" s="10">
        <v>759</v>
      </c>
      <c r="I872" s="10"/>
      <c r="J872" s="10" t="s">
        <v>413</v>
      </c>
      <c r="K872" s="10"/>
      <c r="L872" s="10" t="s">
        <v>1863</v>
      </c>
      <c r="M872" s="10" t="s">
        <v>85</v>
      </c>
      <c r="N872" s="10"/>
      <c r="O872" s="10" t="s">
        <v>14</v>
      </c>
      <c r="P872" s="10" t="s">
        <v>1857</v>
      </c>
      <c r="Q872" s="10" t="s">
        <v>1858</v>
      </c>
      <c r="R872" s="10">
        <v>1985</v>
      </c>
      <c r="S872" s="10" t="s">
        <v>1859</v>
      </c>
      <c r="T872" s="10"/>
      <c r="U872" s="10" t="s">
        <v>1860</v>
      </c>
      <c r="V872" s="10" t="s">
        <v>1861</v>
      </c>
      <c r="W872" s="10" t="s">
        <v>91</v>
      </c>
      <c r="X872" s="10" t="s">
        <v>508</v>
      </c>
      <c r="Y872" s="10" t="s">
        <v>509</v>
      </c>
      <c r="Z872" s="10" t="s">
        <v>510</v>
      </c>
      <c r="AA872" s="10" t="s">
        <v>511</v>
      </c>
      <c r="AB872" s="10" t="s">
        <v>512</v>
      </c>
      <c r="AC872" s="10" t="s">
        <v>513</v>
      </c>
      <c r="AD872" s="10" t="s">
        <v>132</v>
      </c>
      <c r="AE872" s="10" t="s">
        <v>514</v>
      </c>
      <c r="AF872" s="10" t="s">
        <v>100</v>
      </c>
      <c r="AG872" s="10" t="s">
        <v>261</v>
      </c>
      <c r="AH872" s="10" t="s">
        <v>102</v>
      </c>
      <c r="AI872" s="10" t="s">
        <v>134</v>
      </c>
      <c r="AJ872" s="10" t="s">
        <v>135</v>
      </c>
      <c r="AK872" s="10"/>
      <c r="AL872" s="10"/>
      <c r="AM872" s="10" t="s">
        <v>178</v>
      </c>
      <c r="AN872" s="10" t="s">
        <v>106</v>
      </c>
      <c r="AO872" s="10"/>
      <c r="AP872" s="10"/>
      <c r="AQ872" s="10"/>
      <c r="AR872" s="10"/>
      <c r="AS872" s="10"/>
      <c r="AT872" s="10"/>
      <c r="AU872" s="10"/>
      <c r="AV872" s="10"/>
      <c r="AW872" s="10" t="s">
        <v>108</v>
      </c>
      <c r="AX872" s="10">
        <v>27</v>
      </c>
      <c r="AY872" s="10" t="s">
        <v>134</v>
      </c>
      <c r="AZ872" s="10" t="s">
        <v>109</v>
      </c>
      <c r="BA872" s="10" t="s">
        <v>180</v>
      </c>
      <c r="BB872" s="10">
        <v>27</v>
      </c>
      <c r="BC872" s="10">
        <v>35</v>
      </c>
      <c r="BD872" s="10">
        <v>0.2</v>
      </c>
      <c r="BE872" s="10" t="s">
        <v>139</v>
      </c>
      <c r="BF872" s="10">
        <v>10</v>
      </c>
      <c r="BG872" s="10">
        <v>1</v>
      </c>
      <c r="BH872" s="10"/>
      <c r="BI872" s="10"/>
      <c r="BJ872" s="10"/>
      <c r="BK872" s="10"/>
      <c r="BL872" s="10"/>
      <c r="BM872" s="10"/>
      <c r="BN872" s="10"/>
      <c r="BO872" s="10"/>
      <c r="BP872" s="10"/>
      <c r="BQ872" s="10"/>
      <c r="BR872" s="10" t="s">
        <v>69</v>
      </c>
      <c r="BS872" s="10" t="s">
        <v>515</v>
      </c>
      <c r="BT872" s="10"/>
      <c r="BU872" s="10" t="s">
        <v>1867</v>
      </c>
      <c r="BV872">
        <v>42.111111110000003</v>
      </c>
      <c r="BW872">
        <v>0.44719078000000001</v>
      </c>
      <c r="BX872">
        <v>10</v>
      </c>
      <c r="BY872">
        <v>43.742424239999998</v>
      </c>
      <c r="BZ872">
        <v>0.37532083300000002</v>
      </c>
      <c r="CA872">
        <v>10</v>
      </c>
      <c r="CB872" t="s">
        <v>113</v>
      </c>
      <c r="CC872" t="s">
        <v>1865</v>
      </c>
    </row>
    <row r="873" spans="1:81" x14ac:dyDescent="0.25">
      <c r="A873" s="10" t="s">
        <v>1788</v>
      </c>
      <c r="B873">
        <v>872</v>
      </c>
      <c r="C873" s="10">
        <v>37</v>
      </c>
      <c r="D873" s="10">
        <v>34</v>
      </c>
      <c r="E873" s="10">
        <v>188</v>
      </c>
      <c r="F873" s="10">
        <v>201</v>
      </c>
      <c r="G873" s="10">
        <v>497</v>
      </c>
      <c r="H873" s="10">
        <v>760</v>
      </c>
      <c r="I873" s="10" t="s">
        <v>322</v>
      </c>
      <c r="J873" s="10" t="s">
        <v>413</v>
      </c>
      <c r="K873" s="10"/>
      <c r="L873" s="10" t="s">
        <v>1863</v>
      </c>
      <c r="M873" s="10" t="s">
        <v>85</v>
      </c>
      <c r="N873" s="10"/>
      <c r="O873" s="10" t="s">
        <v>14</v>
      </c>
      <c r="P873" s="10" t="s">
        <v>1857</v>
      </c>
      <c r="Q873" s="10" t="s">
        <v>1858</v>
      </c>
      <c r="R873" s="10">
        <v>1985</v>
      </c>
      <c r="S873" s="10" t="s">
        <v>1859</v>
      </c>
      <c r="T873" s="10"/>
      <c r="U873" s="10" t="s">
        <v>1860</v>
      </c>
      <c r="V873" s="10" t="s">
        <v>1861</v>
      </c>
      <c r="W873" s="10" t="s">
        <v>91</v>
      </c>
      <c r="X873" s="10" t="s">
        <v>508</v>
      </c>
      <c r="Y873" s="10" t="s">
        <v>509</v>
      </c>
      <c r="Z873" s="10" t="s">
        <v>510</v>
      </c>
      <c r="AA873" s="10" t="s">
        <v>511</v>
      </c>
      <c r="AB873" s="10" t="s">
        <v>512</v>
      </c>
      <c r="AC873" s="10" t="s">
        <v>513</v>
      </c>
      <c r="AD873" s="10" t="s">
        <v>132</v>
      </c>
      <c r="AE873" s="10" t="s">
        <v>514</v>
      </c>
      <c r="AF873" s="10" t="s">
        <v>100</v>
      </c>
      <c r="AG873" s="10" t="s">
        <v>261</v>
      </c>
      <c r="AH873" s="10" t="s">
        <v>102</v>
      </c>
      <c r="AI873" s="10" t="s">
        <v>134</v>
      </c>
      <c r="AJ873" s="10" t="s">
        <v>135</v>
      </c>
      <c r="AK873" s="10"/>
      <c r="AL873" s="10"/>
      <c r="AM873" s="10" t="s">
        <v>178</v>
      </c>
      <c r="AN873" s="10" t="s">
        <v>106</v>
      </c>
      <c r="AO873" s="10"/>
      <c r="AP873" s="10"/>
      <c r="AQ873" s="10"/>
      <c r="AR873" s="10"/>
      <c r="AS873" s="10"/>
      <c r="AT873" s="10"/>
      <c r="AU873" s="10"/>
      <c r="AV873" s="10"/>
      <c r="AW873" s="10" t="s">
        <v>108</v>
      </c>
      <c r="AX873" s="10">
        <v>27</v>
      </c>
      <c r="AY873" s="10" t="s">
        <v>134</v>
      </c>
      <c r="AZ873" s="10" t="s">
        <v>109</v>
      </c>
      <c r="BA873" s="10" t="s">
        <v>180</v>
      </c>
      <c r="BB873" s="10">
        <v>20</v>
      </c>
      <c r="BC873" s="10">
        <v>27</v>
      </c>
      <c r="BD873" s="10">
        <v>0.2</v>
      </c>
      <c r="BE873" s="10" t="s">
        <v>139</v>
      </c>
      <c r="BF873" s="10">
        <v>10</v>
      </c>
      <c r="BG873" s="10">
        <v>1</v>
      </c>
      <c r="BH873" s="10"/>
      <c r="BI873" s="10"/>
      <c r="BJ873" s="10"/>
      <c r="BK873" s="10"/>
      <c r="BL873" s="10"/>
      <c r="BM873" s="10"/>
      <c r="BN873" s="10"/>
      <c r="BO873" s="10"/>
      <c r="BP873" s="10"/>
      <c r="BQ873" s="10"/>
      <c r="BR873" s="10" t="s">
        <v>69</v>
      </c>
      <c r="BS873" s="10" t="s">
        <v>515</v>
      </c>
      <c r="BT873" s="10"/>
      <c r="BU873" s="10" t="s">
        <v>1868</v>
      </c>
      <c r="BV873">
        <v>41.38383838</v>
      </c>
      <c r="BW873">
        <v>0.47913297900000001</v>
      </c>
      <c r="BX873">
        <v>10</v>
      </c>
      <c r="BY873">
        <v>41.944444439999998</v>
      </c>
      <c r="BZ873">
        <v>0.38330638299999997</v>
      </c>
      <c r="CA873">
        <v>10</v>
      </c>
      <c r="CB873" t="s">
        <v>113</v>
      </c>
      <c r="CC873" t="s">
        <v>1865</v>
      </c>
    </row>
    <row r="874" spans="1:81" x14ac:dyDescent="0.25">
      <c r="A874" s="10" t="s">
        <v>1788</v>
      </c>
      <c r="B874">
        <v>873</v>
      </c>
      <c r="C874" s="10">
        <v>37</v>
      </c>
      <c r="D874" s="10">
        <v>34</v>
      </c>
      <c r="E874" s="10">
        <v>188</v>
      </c>
      <c r="F874" s="10">
        <v>201</v>
      </c>
      <c r="G874" s="10">
        <v>497</v>
      </c>
      <c r="H874" s="10">
        <v>761</v>
      </c>
      <c r="I874" s="10" t="s">
        <v>322</v>
      </c>
      <c r="J874" s="10" t="s">
        <v>413</v>
      </c>
      <c r="K874" s="10"/>
      <c r="L874" s="10" t="s">
        <v>1863</v>
      </c>
      <c r="M874" s="10" t="s">
        <v>85</v>
      </c>
      <c r="N874" s="10"/>
      <c r="O874" s="10" t="s">
        <v>14</v>
      </c>
      <c r="P874" s="10" t="s">
        <v>1857</v>
      </c>
      <c r="Q874" s="10" t="s">
        <v>1858</v>
      </c>
      <c r="R874" s="10">
        <v>1985</v>
      </c>
      <c r="S874" s="10" t="s">
        <v>1859</v>
      </c>
      <c r="T874" s="10"/>
      <c r="U874" s="10" t="s">
        <v>1860</v>
      </c>
      <c r="V874" s="10" t="s">
        <v>1861</v>
      </c>
      <c r="W874" s="10" t="s">
        <v>91</v>
      </c>
      <c r="X874" s="10" t="s">
        <v>508</v>
      </c>
      <c r="Y874" s="10" t="s">
        <v>509</v>
      </c>
      <c r="Z874" s="10" t="s">
        <v>510</v>
      </c>
      <c r="AA874" s="10" t="s">
        <v>511</v>
      </c>
      <c r="AB874" s="10" t="s">
        <v>512</v>
      </c>
      <c r="AC874" s="10" t="s">
        <v>513</v>
      </c>
      <c r="AD874" s="10" t="s">
        <v>132</v>
      </c>
      <c r="AE874" s="10" t="s">
        <v>514</v>
      </c>
      <c r="AF874" s="10" t="s">
        <v>100</v>
      </c>
      <c r="AG874" s="10" t="s">
        <v>261</v>
      </c>
      <c r="AH874" s="10" t="s">
        <v>102</v>
      </c>
      <c r="AI874" s="10" t="s">
        <v>134</v>
      </c>
      <c r="AJ874" s="10" t="s">
        <v>135</v>
      </c>
      <c r="AK874" s="10"/>
      <c r="AL874" s="10"/>
      <c r="AM874" s="10" t="s">
        <v>178</v>
      </c>
      <c r="AN874" s="10" t="s">
        <v>106</v>
      </c>
      <c r="AO874" s="10"/>
      <c r="AP874" s="10"/>
      <c r="AQ874" s="10"/>
      <c r="AR874" s="10"/>
      <c r="AS874" s="10"/>
      <c r="AT874" s="10"/>
      <c r="AU874" s="10"/>
      <c r="AV874" s="10"/>
      <c r="AW874" s="10" t="s">
        <v>108</v>
      </c>
      <c r="AX874" s="10">
        <v>27</v>
      </c>
      <c r="AY874" s="10" t="s">
        <v>134</v>
      </c>
      <c r="AZ874" s="10" t="s">
        <v>109</v>
      </c>
      <c r="BA874" s="10" t="s">
        <v>180</v>
      </c>
      <c r="BB874" s="10">
        <v>27</v>
      </c>
      <c r="BC874" s="10">
        <v>35</v>
      </c>
      <c r="BD874" s="10">
        <v>0.2</v>
      </c>
      <c r="BE874" s="10" t="s">
        <v>139</v>
      </c>
      <c r="BF874" s="10">
        <v>10</v>
      </c>
      <c r="BG874" s="10">
        <v>1</v>
      </c>
      <c r="BH874" s="10"/>
      <c r="BI874" s="10"/>
      <c r="BJ874" s="10"/>
      <c r="BK874" s="10"/>
      <c r="BL874" s="10"/>
      <c r="BM874" s="10"/>
      <c r="BN874" s="10"/>
      <c r="BO874" s="10"/>
      <c r="BP874" s="10"/>
      <c r="BQ874" s="10"/>
      <c r="BR874" s="10" t="s">
        <v>69</v>
      </c>
      <c r="BS874" s="10" t="s">
        <v>515</v>
      </c>
      <c r="BT874" s="10"/>
      <c r="BU874" s="10" t="s">
        <v>1868</v>
      </c>
      <c r="BV874">
        <v>41.944444439999998</v>
      </c>
      <c r="BW874">
        <v>0.38330638299999997</v>
      </c>
      <c r="BX874">
        <v>10</v>
      </c>
      <c r="BY874">
        <v>43.646464649999999</v>
      </c>
      <c r="BZ874">
        <v>0.38330638299999997</v>
      </c>
      <c r="CA874">
        <v>10</v>
      </c>
      <c r="CB874" t="s">
        <v>113</v>
      </c>
      <c r="CC874" t="s">
        <v>1865</v>
      </c>
    </row>
    <row r="875" spans="1:81" x14ac:dyDescent="0.25">
      <c r="A875" s="10" t="s">
        <v>1788</v>
      </c>
      <c r="B875">
        <v>874</v>
      </c>
      <c r="C875" s="10">
        <v>37</v>
      </c>
      <c r="D875" s="10">
        <v>34</v>
      </c>
      <c r="E875" s="10">
        <v>188</v>
      </c>
      <c r="F875" s="10">
        <v>201</v>
      </c>
      <c r="G875" s="10">
        <v>498</v>
      </c>
      <c r="H875" s="10">
        <v>762</v>
      </c>
      <c r="I875" s="10"/>
      <c r="J875" s="10" t="s">
        <v>413</v>
      </c>
      <c r="K875" s="10"/>
      <c r="L875" s="10" t="s">
        <v>1863</v>
      </c>
      <c r="M875" s="10" t="s">
        <v>85</v>
      </c>
      <c r="N875" s="10"/>
      <c r="O875" s="10" t="s">
        <v>14</v>
      </c>
      <c r="P875" s="10" t="s">
        <v>1857</v>
      </c>
      <c r="Q875" s="10" t="s">
        <v>1858</v>
      </c>
      <c r="R875" s="10">
        <v>1985</v>
      </c>
      <c r="S875" s="10" t="s">
        <v>1859</v>
      </c>
      <c r="T875" s="10"/>
      <c r="U875" s="10" t="s">
        <v>1860</v>
      </c>
      <c r="V875" s="10" t="s">
        <v>1861</v>
      </c>
      <c r="W875" s="10" t="s">
        <v>91</v>
      </c>
      <c r="X875" s="10" t="s">
        <v>508</v>
      </c>
      <c r="Y875" s="10" t="s">
        <v>509</v>
      </c>
      <c r="Z875" s="10" t="s">
        <v>510</v>
      </c>
      <c r="AA875" s="10" t="s">
        <v>511</v>
      </c>
      <c r="AB875" s="10" t="s">
        <v>512</v>
      </c>
      <c r="AC875" s="10" t="s">
        <v>513</v>
      </c>
      <c r="AD875" s="10" t="s">
        <v>132</v>
      </c>
      <c r="AE875" s="10" t="s">
        <v>514</v>
      </c>
      <c r="AF875" s="10" t="s">
        <v>100</v>
      </c>
      <c r="AG875" s="10" t="s">
        <v>261</v>
      </c>
      <c r="AH875" s="10" t="s">
        <v>102</v>
      </c>
      <c r="AI875" s="10" t="s">
        <v>134</v>
      </c>
      <c r="AJ875" s="10" t="s">
        <v>135</v>
      </c>
      <c r="AK875" s="10"/>
      <c r="AL875" s="10"/>
      <c r="AM875" s="10" t="s">
        <v>178</v>
      </c>
      <c r="AN875" s="10" t="s">
        <v>106</v>
      </c>
      <c r="AO875" s="10"/>
      <c r="AP875" s="10"/>
      <c r="AQ875" s="10"/>
      <c r="AR875" s="10"/>
      <c r="AS875" s="10"/>
      <c r="AT875" s="10"/>
      <c r="AU875" s="10"/>
      <c r="AV875" s="10"/>
      <c r="AW875" s="10" t="s">
        <v>108</v>
      </c>
      <c r="AX875" s="10">
        <v>27</v>
      </c>
      <c r="AY875" s="10" t="s">
        <v>134</v>
      </c>
      <c r="AZ875" s="10" t="s">
        <v>109</v>
      </c>
      <c r="BA875" s="10" t="s">
        <v>180</v>
      </c>
      <c r="BB875" s="10">
        <v>27</v>
      </c>
      <c r="BC875" s="10">
        <v>35</v>
      </c>
      <c r="BD875" s="10">
        <v>0.2</v>
      </c>
      <c r="BE875" s="10" t="s">
        <v>139</v>
      </c>
      <c r="BF875" s="10">
        <v>10</v>
      </c>
      <c r="BG875" s="10">
        <v>1</v>
      </c>
      <c r="BH875" s="10"/>
      <c r="BI875" s="10"/>
      <c r="BJ875" s="10"/>
      <c r="BK875" s="10"/>
      <c r="BL875" s="10"/>
      <c r="BM875" s="10"/>
      <c r="BN875" s="10"/>
      <c r="BO875" s="10"/>
      <c r="BP875" s="10"/>
      <c r="BQ875" s="10"/>
      <c r="BR875" s="10" t="s">
        <v>69</v>
      </c>
      <c r="BS875" s="10" t="s">
        <v>515</v>
      </c>
      <c r="BT875" s="10"/>
      <c r="BU875" s="10" t="s">
        <v>1869</v>
      </c>
      <c r="BV875">
        <v>41.803030300000003</v>
      </c>
      <c r="BW875">
        <v>0.61488732300000004</v>
      </c>
      <c r="BX875">
        <v>10</v>
      </c>
      <c r="BY875">
        <v>43.555555560000002</v>
      </c>
      <c r="BZ875">
        <v>0.53503182599999999</v>
      </c>
      <c r="CA875">
        <v>10</v>
      </c>
      <c r="CB875" t="s">
        <v>113</v>
      </c>
      <c r="CC875" t="s">
        <v>1865</v>
      </c>
    </row>
    <row r="876" spans="1:81" x14ac:dyDescent="0.25">
      <c r="A876" s="10" t="s">
        <v>1788</v>
      </c>
      <c r="B876">
        <v>875</v>
      </c>
      <c r="C876" s="10">
        <v>37</v>
      </c>
      <c r="D876" s="10">
        <v>34</v>
      </c>
      <c r="E876" s="10">
        <v>188</v>
      </c>
      <c r="F876" s="10">
        <v>201</v>
      </c>
      <c r="G876" s="10">
        <v>499</v>
      </c>
      <c r="H876" s="10">
        <v>763</v>
      </c>
      <c r="I876" s="10"/>
      <c r="J876" s="10" t="s">
        <v>413</v>
      </c>
      <c r="K876" s="10"/>
      <c r="L876" s="10" t="s">
        <v>1863</v>
      </c>
      <c r="M876" s="10" t="s">
        <v>85</v>
      </c>
      <c r="N876" s="10"/>
      <c r="O876" s="10" t="s">
        <v>14</v>
      </c>
      <c r="P876" s="10" t="s">
        <v>1857</v>
      </c>
      <c r="Q876" s="10" t="s">
        <v>1858</v>
      </c>
      <c r="R876" s="10">
        <v>1985</v>
      </c>
      <c r="S876" s="10" t="s">
        <v>1859</v>
      </c>
      <c r="T876" s="10"/>
      <c r="U876" s="10" t="s">
        <v>1860</v>
      </c>
      <c r="V876" s="10" t="s">
        <v>1861</v>
      </c>
      <c r="W876" s="10" t="s">
        <v>91</v>
      </c>
      <c r="X876" s="10" t="s">
        <v>508</v>
      </c>
      <c r="Y876" s="10" t="s">
        <v>509</v>
      </c>
      <c r="Z876" s="10" t="s">
        <v>510</v>
      </c>
      <c r="AA876" s="10" t="s">
        <v>511</v>
      </c>
      <c r="AB876" s="10" t="s">
        <v>512</v>
      </c>
      <c r="AC876" s="10" t="s">
        <v>513</v>
      </c>
      <c r="AD876" s="10" t="s">
        <v>132</v>
      </c>
      <c r="AE876" s="10" t="s">
        <v>514</v>
      </c>
      <c r="AF876" s="10" t="s">
        <v>100</v>
      </c>
      <c r="AG876" s="10" t="s">
        <v>261</v>
      </c>
      <c r="AH876" s="10" t="s">
        <v>102</v>
      </c>
      <c r="AI876" s="10" t="s">
        <v>134</v>
      </c>
      <c r="AJ876" s="10" t="s">
        <v>135</v>
      </c>
      <c r="AK876" s="10"/>
      <c r="AL876" s="10"/>
      <c r="AM876" s="10" t="s">
        <v>178</v>
      </c>
      <c r="AN876" s="10" t="s">
        <v>106</v>
      </c>
      <c r="AO876" s="10"/>
      <c r="AP876" s="10"/>
      <c r="AQ876" s="10"/>
      <c r="AR876" s="10"/>
      <c r="AS876" s="10"/>
      <c r="AT876" s="10"/>
      <c r="AU876" s="10"/>
      <c r="AV876" s="10"/>
      <c r="AW876" s="10" t="s">
        <v>108</v>
      </c>
      <c r="AX876" s="10">
        <v>27</v>
      </c>
      <c r="AY876" s="10" t="s">
        <v>134</v>
      </c>
      <c r="AZ876" s="10" t="s">
        <v>109</v>
      </c>
      <c r="BA876" s="10" t="s">
        <v>180</v>
      </c>
      <c r="BB876" s="10">
        <v>27</v>
      </c>
      <c r="BC876" s="10">
        <v>35</v>
      </c>
      <c r="BD876" s="10">
        <v>0.2</v>
      </c>
      <c r="BE876" s="10" t="s">
        <v>139</v>
      </c>
      <c r="BF876" s="10">
        <v>10</v>
      </c>
      <c r="BG876" s="10">
        <v>1</v>
      </c>
      <c r="BH876" s="10"/>
      <c r="BI876" s="10"/>
      <c r="BJ876" s="10"/>
      <c r="BK876" s="10"/>
      <c r="BL876" s="10"/>
      <c r="BM876" s="10"/>
      <c r="BN876" s="10"/>
      <c r="BO876" s="10"/>
      <c r="BP876" s="10"/>
      <c r="BQ876" s="10"/>
      <c r="BR876" s="10" t="s">
        <v>69</v>
      </c>
      <c r="BS876" s="10" t="s">
        <v>515</v>
      </c>
      <c r="BT876" s="10"/>
      <c r="BU876" s="10" t="s">
        <v>1870</v>
      </c>
      <c r="BV876">
        <v>41.767676770000001</v>
      </c>
      <c r="BW876">
        <v>0.81452606400000005</v>
      </c>
      <c r="BX876">
        <v>10</v>
      </c>
      <c r="BY876">
        <v>43.590909089999997</v>
      </c>
      <c r="BZ876">
        <v>0.77459831599999995</v>
      </c>
      <c r="CA876">
        <v>10</v>
      </c>
      <c r="CB876" t="s">
        <v>113</v>
      </c>
      <c r="CC876" t="s">
        <v>1865</v>
      </c>
    </row>
    <row r="877" spans="1:81" x14ac:dyDescent="0.25">
      <c r="A877" s="10" t="s">
        <v>1788</v>
      </c>
      <c r="B877">
        <v>876</v>
      </c>
      <c r="C877" s="10">
        <v>37</v>
      </c>
      <c r="D877" s="10">
        <v>34</v>
      </c>
      <c r="E877" s="10">
        <v>188</v>
      </c>
      <c r="F877" s="10">
        <v>201</v>
      </c>
      <c r="G877" s="10">
        <v>500</v>
      </c>
      <c r="H877" s="10">
        <v>764</v>
      </c>
      <c r="I877" s="10"/>
      <c r="J877" s="10" t="s">
        <v>413</v>
      </c>
      <c r="K877" s="10"/>
      <c r="L877" s="10" t="s">
        <v>1863</v>
      </c>
      <c r="M877" s="10" t="s">
        <v>85</v>
      </c>
      <c r="N877" s="10"/>
      <c r="O877" s="10" t="s">
        <v>14</v>
      </c>
      <c r="P877" s="10" t="s">
        <v>1857</v>
      </c>
      <c r="Q877" s="10" t="s">
        <v>1858</v>
      </c>
      <c r="R877" s="10">
        <v>1985</v>
      </c>
      <c r="S877" s="10" t="s">
        <v>1859</v>
      </c>
      <c r="T877" s="10"/>
      <c r="U877" s="10" t="s">
        <v>1860</v>
      </c>
      <c r="V877" s="10" t="s">
        <v>1861</v>
      </c>
      <c r="W877" s="10" t="s">
        <v>91</v>
      </c>
      <c r="X877" s="10" t="s">
        <v>508</v>
      </c>
      <c r="Y877" s="10" t="s">
        <v>509</v>
      </c>
      <c r="Z877" s="10" t="s">
        <v>510</v>
      </c>
      <c r="AA877" s="10" t="s">
        <v>511</v>
      </c>
      <c r="AB877" s="10" t="s">
        <v>512</v>
      </c>
      <c r="AC877" s="10" t="s">
        <v>513</v>
      </c>
      <c r="AD877" s="10" t="s">
        <v>132</v>
      </c>
      <c r="AE877" s="10" t="s">
        <v>514</v>
      </c>
      <c r="AF877" s="10" t="s">
        <v>100</v>
      </c>
      <c r="AG877" s="10" t="s">
        <v>261</v>
      </c>
      <c r="AH877" s="10" t="s">
        <v>102</v>
      </c>
      <c r="AI877" s="10" t="s">
        <v>134</v>
      </c>
      <c r="AJ877" s="10" t="s">
        <v>135</v>
      </c>
      <c r="AK877" s="10"/>
      <c r="AL877" s="10"/>
      <c r="AM877" s="10" t="s">
        <v>178</v>
      </c>
      <c r="AN877" s="10" t="s">
        <v>106</v>
      </c>
      <c r="AO877" s="10"/>
      <c r="AP877" s="10"/>
      <c r="AQ877" s="10"/>
      <c r="AR877" s="10"/>
      <c r="AS877" s="10"/>
      <c r="AT877" s="10"/>
      <c r="AU877" s="10"/>
      <c r="AV877" s="10"/>
      <c r="AW877" s="10" t="s">
        <v>108</v>
      </c>
      <c r="AX877" s="10">
        <v>27</v>
      </c>
      <c r="AY877" s="10" t="s">
        <v>134</v>
      </c>
      <c r="AZ877" s="10" t="s">
        <v>109</v>
      </c>
      <c r="BA877" s="10" t="s">
        <v>180</v>
      </c>
      <c r="BB877" s="10">
        <v>27</v>
      </c>
      <c r="BC877" s="10">
        <v>35</v>
      </c>
      <c r="BD877" s="10">
        <v>0.2</v>
      </c>
      <c r="BE877" s="10" t="s">
        <v>139</v>
      </c>
      <c r="BF877" s="10">
        <v>10</v>
      </c>
      <c r="BG877" s="10">
        <v>1</v>
      </c>
      <c r="BH877" s="10"/>
      <c r="BI877" s="10"/>
      <c r="BJ877" s="10"/>
      <c r="BK877" s="10"/>
      <c r="BL877" s="10"/>
      <c r="BM877" s="10"/>
      <c r="BN877" s="10"/>
      <c r="BO877" s="10"/>
      <c r="BP877" s="10"/>
      <c r="BQ877" s="10"/>
      <c r="BR877" s="10" t="s">
        <v>69</v>
      </c>
      <c r="BS877" s="10" t="s">
        <v>515</v>
      </c>
      <c r="BT877" s="10"/>
      <c r="BU877" s="10" t="s">
        <v>1871</v>
      </c>
      <c r="BV877">
        <v>41.101010100000003</v>
      </c>
      <c r="BW877">
        <v>0.598916224</v>
      </c>
      <c r="BX877">
        <v>10</v>
      </c>
      <c r="BY877">
        <v>41.68181818</v>
      </c>
      <c r="BZ877">
        <v>0.31942198599999999</v>
      </c>
      <c r="CA877">
        <v>10</v>
      </c>
      <c r="CB877" t="s">
        <v>113</v>
      </c>
      <c r="CC877" t="s">
        <v>1865</v>
      </c>
    </row>
    <row r="878" spans="1:81" x14ac:dyDescent="0.25">
      <c r="A878" s="10" t="s">
        <v>1778</v>
      </c>
      <c r="B878">
        <v>877</v>
      </c>
      <c r="C878" s="10">
        <v>35</v>
      </c>
      <c r="D878" s="10">
        <v>19</v>
      </c>
      <c r="E878" s="10">
        <v>189</v>
      </c>
      <c r="F878" s="10">
        <v>202</v>
      </c>
      <c r="G878" s="10">
        <v>501</v>
      </c>
      <c r="H878" s="10">
        <v>765</v>
      </c>
      <c r="I878" s="10" t="s">
        <v>1872</v>
      </c>
      <c r="J878" s="10" t="s">
        <v>691</v>
      </c>
      <c r="K878" s="10"/>
      <c r="L878" s="10"/>
      <c r="M878" s="10" t="s">
        <v>85</v>
      </c>
      <c r="N878" s="10"/>
      <c r="O878" s="10" t="s">
        <v>14</v>
      </c>
      <c r="P878" s="10" t="s">
        <v>1873</v>
      </c>
      <c r="Q878" s="10" t="s">
        <v>1874</v>
      </c>
      <c r="R878" s="10">
        <v>1987</v>
      </c>
      <c r="S878" s="10" t="s">
        <v>1736</v>
      </c>
      <c r="T878" s="10"/>
      <c r="U878" s="10" t="s">
        <v>1875</v>
      </c>
      <c r="V878" s="10" t="s">
        <v>1876</v>
      </c>
      <c r="W878" s="10" t="s">
        <v>91</v>
      </c>
      <c r="X878" s="10" t="s">
        <v>126</v>
      </c>
      <c r="Y878" s="10" t="s">
        <v>434</v>
      </c>
      <c r="Z878" s="10" t="s">
        <v>1282</v>
      </c>
      <c r="AA878" s="10" t="s">
        <v>1283</v>
      </c>
      <c r="AB878" s="10" t="s">
        <v>1284</v>
      </c>
      <c r="AC878" s="10" t="s">
        <v>1285</v>
      </c>
      <c r="AD878" s="10" t="s">
        <v>132</v>
      </c>
      <c r="AE878" s="10" t="s">
        <v>133</v>
      </c>
      <c r="AF878" s="10" t="s">
        <v>100</v>
      </c>
      <c r="AG878" s="10" t="s">
        <v>102</v>
      </c>
      <c r="AH878" s="10" t="s">
        <v>102</v>
      </c>
      <c r="AI878" s="10" t="s">
        <v>134</v>
      </c>
      <c r="AJ878" s="10" t="s">
        <v>135</v>
      </c>
      <c r="AK878" s="10"/>
      <c r="AL878" s="10"/>
      <c r="AM878" s="10" t="s">
        <v>136</v>
      </c>
      <c r="AN878" s="10" t="s">
        <v>1286</v>
      </c>
      <c r="AO878" s="10">
        <v>45.537019999999998</v>
      </c>
      <c r="AP878" s="10">
        <v>-92.390829999999994</v>
      </c>
      <c r="AQ878" s="10"/>
      <c r="AR878" s="10" t="s">
        <v>179</v>
      </c>
      <c r="AS878" s="10">
        <v>1978</v>
      </c>
      <c r="AT878" s="10">
        <v>55</v>
      </c>
      <c r="AU878" s="10"/>
      <c r="AV878" s="10"/>
      <c r="AW878" s="10" t="s">
        <v>108</v>
      </c>
      <c r="AX878" s="10">
        <v>10</v>
      </c>
      <c r="AY878" s="10" t="s">
        <v>103</v>
      </c>
      <c r="AZ878" s="10" t="s">
        <v>109</v>
      </c>
      <c r="BA878" s="10" t="s">
        <v>142</v>
      </c>
      <c r="BB878" s="10">
        <v>8</v>
      </c>
      <c r="BC878" s="10">
        <v>16</v>
      </c>
      <c r="BD878" s="10"/>
      <c r="BE878" s="10" t="s">
        <v>139</v>
      </c>
      <c r="BF878" s="10">
        <v>28</v>
      </c>
      <c r="BG878" s="10">
        <v>0.2</v>
      </c>
      <c r="BH878" s="10"/>
      <c r="BI878" s="10"/>
      <c r="BJ878" s="10"/>
      <c r="BK878" s="10"/>
      <c r="BL878" s="10"/>
      <c r="BM878" s="10"/>
      <c r="BN878" s="10"/>
      <c r="BO878" s="10"/>
      <c r="BP878" s="10">
        <v>12</v>
      </c>
      <c r="BQ878" s="10"/>
      <c r="BR878" s="10" t="s">
        <v>449</v>
      </c>
      <c r="BS878" s="10"/>
      <c r="BT878" s="10"/>
      <c r="BU878" s="10" t="s">
        <v>1877</v>
      </c>
      <c r="BV878">
        <v>29.2</v>
      </c>
      <c r="BW878">
        <v>1.36</v>
      </c>
      <c r="BX878">
        <v>10</v>
      </c>
      <c r="BY878">
        <v>33.6</v>
      </c>
      <c r="BZ878">
        <v>0.87</v>
      </c>
      <c r="CA878">
        <v>10</v>
      </c>
      <c r="CB878" t="s">
        <v>113</v>
      </c>
      <c r="CC878" t="s">
        <v>1814</v>
      </c>
    </row>
    <row r="879" spans="1:81" x14ac:dyDescent="0.25">
      <c r="A879" s="10" t="s">
        <v>1778</v>
      </c>
      <c r="B879">
        <v>878</v>
      </c>
      <c r="C879" s="10">
        <v>35</v>
      </c>
      <c r="D879" s="10">
        <v>19</v>
      </c>
      <c r="E879" s="10">
        <v>189</v>
      </c>
      <c r="F879" s="10">
        <v>202</v>
      </c>
      <c r="G879" s="10">
        <v>501</v>
      </c>
      <c r="H879" s="10">
        <v>766</v>
      </c>
      <c r="I879" s="10" t="s">
        <v>1872</v>
      </c>
      <c r="J879" s="10" t="s">
        <v>691</v>
      </c>
      <c r="K879" s="10"/>
      <c r="L879" s="10"/>
      <c r="M879" s="10" t="s">
        <v>85</v>
      </c>
      <c r="N879" s="10"/>
      <c r="O879" s="10" t="s">
        <v>14</v>
      </c>
      <c r="P879" s="10" t="s">
        <v>1873</v>
      </c>
      <c r="Q879" s="10" t="s">
        <v>1874</v>
      </c>
      <c r="R879" s="10">
        <v>1987</v>
      </c>
      <c r="S879" s="10" t="s">
        <v>1736</v>
      </c>
      <c r="T879" s="10"/>
      <c r="U879" s="10" t="s">
        <v>1875</v>
      </c>
      <c r="V879" s="10" t="s">
        <v>1876</v>
      </c>
      <c r="W879" s="10" t="s">
        <v>91</v>
      </c>
      <c r="X879" s="10" t="s">
        <v>126</v>
      </c>
      <c r="Y879" s="10" t="s">
        <v>434</v>
      </c>
      <c r="Z879" s="10" t="s">
        <v>1282</v>
      </c>
      <c r="AA879" s="10" t="s">
        <v>1283</v>
      </c>
      <c r="AB879" s="10" t="s">
        <v>1284</v>
      </c>
      <c r="AC879" s="10" t="s">
        <v>1285</v>
      </c>
      <c r="AD879" s="10" t="s">
        <v>132</v>
      </c>
      <c r="AE879" s="10" t="s">
        <v>133</v>
      </c>
      <c r="AF879" s="10" t="s">
        <v>100</v>
      </c>
      <c r="AG879" s="10" t="s">
        <v>102</v>
      </c>
      <c r="AH879" s="10" t="s">
        <v>102</v>
      </c>
      <c r="AI879" s="10" t="s">
        <v>134</v>
      </c>
      <c r="AJ879" s="10" t="s">
        <v>135</v>
      </c>
      <c r="AK879" s="10"/>
      <c r="AL879" s="10"/>
      <c r="AM879" s="10" t="s">
        <v>136</v>
      </c>
      <c r="AN879" s="10" t="s">
        <v>1286</v>
      </c>
      <c r="AO879" s="10">
        <v>45.537019999999998</v>
      </c>
      <c r="AP879" s="10">
        <v>-92.390829999999994</v>
      </c>
      <c r="AQ879" s="10"/>
      <c r="AR879" s="10" t="s">
        <v>179</v>
      </c>
      <c r="AS879" s="10">
        <v>1978</v>
      </c>
      <c r="AT879" s="10">
        <v>55</v>
      </c>
      <c r="AU879" s="10"/>
      <c r="AV879" s="10"/>
      <c r="AW879" s="10" t="s">
        <v>108</v>
      </c>
      <c r="AX879" s="10">
        <v>10</v>
      </c>
      <c r="AY879" s="10" t="s">
        <v>103</v>
      </c>
      <c r="AZ879" s="10" t="s">
        <v>109</v>
      </c>
      <c r="BA879" s="10" t="s">
        <v>142</v>
      </c>
      <c r="BB879" s="10">
        <v>16</v>
      </c>
      <c r="BC879" s="10">
        <v>24</v>
      </c>
      <c r="BD879" s="10"/>
      <c r="BE879" s="10" t="s">
        <v>139</v>
      </c>
      <c r="BF879" s="10">
        <v>28</v>
      </c>
      <c r="BG879" s="10">
        <v>0.2</v>
      </c>
      <c r="BH879" s="10"/>
      <c r="BI879" s="10"/>
      <c r="BJ879" s="10"/>
      <c r="BK879" s="10"/>
      <c r="BL879" s="10"/>
      <c r="BM879" s="10"/>
      <c r="BN879" s="10"/>
      <c r="BO879" s="10"/>
      <c r="BP879" s="10">
        <v>12</v>
      </c>
      <c r="BQ879" s="10"/>
      <c r="BR879" s="10" t="s">
        <v>449</v>
      </c>
      <c r="BS879" s="10"/>
      <c r="BT879" s="10"/>
      <c r="BU879" s="10" t="s">
        <v>1877</v>
      </c>
      <c r="BV879">
        <v>33.6</v>
      </c>
      <c r="BW879">
        <v>0.87</v>
      </c>
      <c r="BX879">
        <v>10</v>
      </c>
      <c r="BY879">
        <v>36.5</v>
      </c>
      <c r="BZ879">
        <v>0.51</v>
      </c>
      <c r="CA879">
        <v>10</v>
      </c>
      <c r="CB879" t="s">
        <v>113</v>
      </c>
      <c r="CC879" t="s">
        <v>1814</v>
      </c>
    </row>
    <row r="880" spans="1:81" x14ac:dyDescent="0.25">
      <c r="A880" s="10" t="s">
        <v>1778</v>
      </c>
      <c r="B880">
        <v>879</v>
      </c>
      <c r="C880" s="10">
        <v>35</v>
      </c>
      <c r="D880" s="10">
        <v>19</v>
      </c>
      <c r="E880" s="10">
        <v>189</v>
      </c>
      <c r="F880" s="10">
        <v>202</v>
      </c>
      <c r="G880" s="10">
        <v>501</v>
      </c>
      <c r="H880" s="10">
        <v>767</v>
      </c>
      <c r="I880" s="10" t="s">
        <v>1872</v>
      </c>
      <c r="J880" s="10" t="s">
        <v>691</v>
      </c>
      <c r="K880" s="10"/>
      <c r="L880" s="10"/>
      <c r="M880" s="10" t="s">
        <v>85</v>
      </c>
      <c r="N880" s="10"/>
      <c r="O880" s="10" t="s">
        <v>14</v>
      </c>
      <c r="P880" s="10" t="s">
        <v>1873</v>
      </c>
      <c r="Q880" s="10" t="s">
        <v>1874</v>
      </c>
      <c r="R880" s="10">
        <v>1987</v>
      </c>
      <c r="S880" s="10" t="s">
        <v>1736</v>
      </c>
      <c r="T880" s="10"/>
      <c r="U880" s="10" t="s">
        <v>1875</v>
      </c>
      <c r="V880" s="10" t="s">
        <v>1876</v>
      </c>
      <c r="W880" s="10" t="s">
        <v>91</v>
      </c>
      <c r="X880" s="10" t="s">
        <v>126</v>
      </c>
      <c r="Y880" s="10" t="s">
        <v>434</v>
      </c>
      <c r="Z880" s="10" t="s">
        <v>1282</v>
      </c>
      <c r="AA880" s="10" t="s">
        <v>1283</v>
      </c>
      <c r="AB880" s="10" t="s">
        <v>1284</v>
      </c>
      <c r="AC880" s="10" t="s">
        <v>1285</v>
      </c>
      <c r="AD880" s="10" t="s">
        <v>132</v>
      </c>
      <c r="AE880" s="10" t="s">
        <v>133</v>
      </c>
      <c r="AF880" s="10" t="s">
        <v>100</v>
      </c>
      <c r="AG880" s="10" t="s">
        <v>102</v>
      </c>
      <c r="AH880" s="10" t="s">
        <v>102</v>
      </c>
      <c r="AI880" s="10" t="s">
        <v>134</v>
      </c>
      <c r="AJ880" s="10" t="s">
        <v>135</v>
      </c>
      <c r="AK880" s="10"/>
      <c r="AL880" s="10"/>
      <c r="AM880" s="10" t="s">
        <v>136</v>
      </c>
      <c r="AN880" s="10" t="s">
        <v>1286</v>
      </c>
      <c r="AO880" s="10">
        <v>45.537019999999998</v>
      </c>
      <c r="AP880" s="10">
        <v>-92.390829999999994</v>
      </c>
      <c r="AQ880" s="10"/>
      <c r="AR880" s="10" t="s">
        <v>179</v>
      </c>
      <c r="AS880" s="10">
        <v>1978</v>
      </c>
      <c r="AT880" s="10">
        <v>55</v>
      </c>
      <c r="AU880" s="10"/>
      <c r="AV880" s="10"/>
      <c r="AW880" s="10" t="s">
        <v>108</v>
      </c>
      <c r="AX880" s="10">
        <v>10</v>
      </c>
      <c r="AY880" s="10" t="s">
        <v>103</v>
      </c>
      <c r="AZ880" s="10" t="s">
        <v>109</v>
      </c>
      <c r="BA880" s="10" t="s">
        <v>142</v>
      </c>
      <c r="BB880" s="10">
        <v>24</v>
      </c>
      <c r="BC880" s="10">
        <v>32</v>
      </c>
      <c r="BD880" s="10"/>
      <c r="BE880" s="10" t="s">
        <v>139</v>
      </c>
      <c r="BF880" s="10">
        <v>28</v>
      </c>
      <c r="BG880" s="10">
        <v>0.2</v>
      </c>
      <c r="BH880" s="10"/>
      <c r="BI880" s="10"/>
      <c r="BJ880" s="10"/>
      <c r="BK880" s="10"/>
      <c r="BL880" s="10"/>
      <c r="BM880" s="10"/>
      <c r="BN880" s="10"/>
      <c r="BO880" s="10"/>
      <c r="BP880" s="10">
        <v>12</v>
      </c>
      <c r="BQ880" s="10"/>
      <c r="BR880" s="10" t="s">
        <v>449</v>
      </c>
      <c r="BS880" s="10"/>
      <c r="BT880" s="10"/>
      <c r="BU880" s="10" t="s">
        <v>1877</v>
      </c>
      <c r="BV880">
        <v>36.5</v>
      </c>
      <c r="BW880">
        <v>0.51</v>
      </c>
      <c r="BX880">
        <v>10</v>
      </c>
      <c r="BY880">
        <v>40.9</v>
      </c>
      <c r="BZ880">
        <v>0.4</v>
      </c>
      <c r="CA880">
        <v>10</v>
      </c>
      <c r="CB880" t="s">
        <v>113</v>
      </c>
      <c r="CC880" t="s">
        <v>1814</v>
      </c>
    </row>
    <row r="881" spans="1:81" x14ac:dyDescent="0.25">
      <c r="A881" s="10" t="s">
        <v>1778</v>
      </c>
      <c r="B881">
        <v>880</v>
      </c>
      <c r="C881" s="10">
        <v>35</v>
      </c>
      <c r="D881" s="10">
        <v>19</v>
      </c>
      <c r="E881" s="10">
        <v>189</v>
      </c>
      <c r="F881" s="10">
        <v>203</v>
      </c>
      <c r="G881" s="10">
        <v>502</v>
      </c>
      <c r="H881" s="10">
        <v>768</v>
      </c>
      <c r="I881" s="10" t="s">
        <v>1872</v>
      </c>
      <c r="J881" s="10" t="s">
        <v>691</v>
      </c>
      <c r="K881" s="10"/>
      <c r="L881" s="10"/>
      <c r="M881" s="10" t="s">
        <v>85</v>
      </c>
      <c r="N881" s="10"/>
      <c r="O881" s="10" t="s">
        <v>14</v>
      </c>
      <c r="P881" s="10" t="s">
        <v>1873</v>
      </c>
      <c r="Q881" s="10" t="s">
        <v>1874</v>
      </c>
      <c r="R881" s="10">
        <v>1987</v>
      </c>
      <c r="S881" s="10" t="s">
        <v>1736</v>
      </c>
      <c r="T881" s="10"/>
      <c r="U881" s="10" t="s">
        <v>1875</v>
      </c>
      <c r="V881" s="10" t="s">
        <v>1876</v>
      </c>
      <c r="W881" s="10" t="s">
        <v>91</v>
      </c>
      <c r="X881" s="10" t="s">
        <v>126</v>
      </c>
      <c r="Y881" s="10" t="s">
        <v>434</v>
      </c>
      <c r="Z881" s="10" t="s">
        <v>1282</v>
      </c>
      <c r="AA881" s="10" t="s">
        <v>1283</v>
      </c>
      <c r="AB881" s="10" t="s">
        <v>1284</v>
      </c>
      <c r="AC881" s="10" t="s">
        <v>1285</v>
      </c>
      <c r="AD881" s="10" t="s">
        <v>132</v>
      </c>
      <c r="AE881" s="10" t="s">
        <v>133</v>
      </c>
      <c r="AF881" s="10" t="s">
        <v>100</v>
      </c>
      <c r="AG881" s="10" t="s">
        <v>102</v>
      </c>
      <c r="AH881" s="10" t="s">
        <v>102</v>
      </c>
      <c r="AI881" s="10" t="s">
        <v>134</v>
      </c>
      <c r="AJ881" s="10" t="s">
        <v>135</v>
      </c>
      <c r="AK881" s="10"/>
      <c r="AL881" s="10"/>
      <c r="AM881" s="10" t="s">
        <v>136</v>
      </c>
      <c r="AN881" s="10" t="s">
        <v>1286</v>
      </c>
      <c r="AO881" s="10"/>
      <c r="AP881" s="10"/>
      <c r="AQ881" s="10"/>
      <c r="AR881" s="10"/>
      <c r="AS881" s="10"/>
      <c r="AT881" s="10">
        <v>55</v>
      </c>
      <c r="AU881" s="10"/>
      <c r="AV881" s="10"/>
      <c r="AW881" s="10" t="s">
        <v>108</v>
      </c>
      <c r="AX881" s="10">
        <v>10</v>
      </c>
      <c r="AY881" s="10" t="s">
        <v>103</v>
      </c>
      <c r="AZ881" s="10" t="s">
        <v>109</v>
      </c>
      <c r="BA881" s="10" t="s">
        <v>142</v>
      </c>
      <c r="BB881" s="10">
        <v>8</v>
      </c>
      <c r="BC881" s="10">
        <v>16</v>
      </c>
      <c r="BD881" s="10"/>
      <c r="BE881" s="10" t="s">
        <v>139</v>
      </c>
      <c r="BF881" s="10">
        <v>28</v>
      </c>
      <c r="BG881" s="10">
        <v>0.2</v>
      </c>
      <c r="BH881" s="10"/>
      <c r="BI881" s="10"/>
      <c r="BJ881" s="10"/>
      <c r="BK881" s="10"/>
      <c r="BL881" s="10"/>
      <c r="BM881" s="10"/>
      <c r="BN881" s="10"/>
      <c r="BO881" s="10"/>
      <c r="BP881" s="10">
        <v>12</v>
      </c>
      <c r="BQ881" s="10"/>
      <c r="BR881" s="10" t="s">
        <v>449</v>
      </c>
      <c r="BS881" s="10"/>
      <c r="BT881" s="10"/>
      <c r="BU881" s="10" t="s">
        <v>1878</v>
      </c>
      <c r="BV881">
        <v>30.1</v>
      </c>
      <c r="BW881">
        <v>0.48</v>
      </c>
      <c r="BX881">
        <v>10</v>
      </c>
      <c r="BY881">
        <v>34</v>
      </c>
      <c r="BZ881">
        <v>0.98</v>
      </c>
      <c r="CA881">
        <v>10</v>
      </c>
      <c r="CB881" t="s">
        <v>113</v>
      </c>
      <c r="CC881" t="s">
        <v>1814</v>
      </c>
    </row>
    <row r="882" spans="1:81" x14ac:dyDescent="0.25">
      <c r="A882" s="10" t="s">
        <v>1778</v>
      </c>
      <c r="B882">
        <v>881</v>
      </c>
      <c r="C882" s="10">
        <v>35</v>
      </c>
      <c r="D882" s="10">
        <v>19</v>
      </c>
      <c r="E882" s="10">
        <v>189</v>
      </c>
      <c r="F882" s="10">
        <v>203</v>
      </c>
      <c r="G882" s="10">
        <v>502</v>
      </c>
      <c r="H882" s="10">
        <v>769</v>
      </c>
      <c r="I882" s="10" t="s">
        <v>1872</v>
      </c>
      <c r="J882" s="10" t="s">
        <v>691</v>
      </c>
      <c r="K882" s="10"/>
      <c r="L882" s="10"/>
      <c r="M882" s="10" t="s">
        <v>85</v>
      </c>
      <c r="N882" s="10"/>
      <c r="O882" s="10" t="s">
        <v>14</v>
      </c>
      <c r="P882" s="10" t="s">
        <v>1873</v>
      </c>
      <c r="Q882" s="10" t="s">
        <v>1874</v>
      </c>
      <c r="R882" s="10">
        <v>1987</v>
      </c>
      <c r="S882" s="10" t="s">
        <v>1736</v>
      </c>
      <c r="T882" s="10"/>
      <c r="U882" s="10" t="s">
        <v>1875</v>
      </c>
      <c r="V882" s="10" t="s">
        <v>1876</v>
      </c>
      <c r="W882" s="10" t="s">
        <v>91</v>
      </c>
      <c r="X882" s="10" t="s">
        <v>126</v>
      </c>
      <c r="Y882" s="10" t="s">
        <v>434</v>
      </c>
      <c r="Z882" s="10" t="s">
        <v>1282</v>
      </c>
      <c r="AA882" s="10" t="s">
        <v>1283</v>
      </c>
      <c r="AB882" s="10" t="s">
        <v>1284</v>
      </c>
      <c r="AC882" s="10" t="s">
        <v>1285</v>
      </c>
      <c r="AD882" s="10" t="s">
        <v>132</v>
      </c>
      <c r="AE882" s="10" t="s">
        <v>133</v>
      </c>
      <c r="AF882" s="10" t="s">
        <v>100</v>
      </c>
      <c r="AG882" s="10" t="s">
        <v>102</v>
      </c>
      <c r="AH882" s="10" t="s">
        <v>102</v>
      </c>
      <c r="AI882" s="10" t="s">
        <v>134</v>
      </c>
      <c r="AJ882" s="10" t="s">
        <v>135</v>
      </c>
      <c r="AK882" s="10"/>
      <c r="AL882" s="10"/>
      <c r="AM882" s="10" t="s">
        <v>136</v>
      </c>
      <c r="AN882" s="10" t="s">
        <v>1286</v>
      </c>
      <c r="AO882" s="10"/>
      <c r="AP882" s="10"/>
      <c r="AQ882" s="10"/>
      <c r="AR882" s="10"/>
      <c r="AS882" s="10"/>
      <c r="AT882" s="10">
        <v>55</v>
      </c>
      <c r="AU882" s="10"/>
      <c r="AV882" s="10"/>
      <c r="AW882" s="10" t="s">
        <v>108</v>
      </c>
      <c r="AX882" s="10">
        <v>10</v>
      </c>
      <c r="AY882" s="10" t="s">
        <v>103</v>
      </c>
      <c r="AZ882" s="10" t="s">
        <v>109</v>
      </c>
      <c r="BA882" s="10" t="s">
        <v>142</v>
      </c>
      <c r="BB882" s="10">
        <v>16</v>
      </c>
      <c r="BC882" s="10">
        <v>24</v>
      </c>
      <c r="BD882" s="10"/>
      <c r="BE882" s="10" t="s">
        <v>139</v>
      </c>
      <c r="BF882" s="10">
        <v>28</v>
      </c>
      <c r="BG882" s="10">
        <v>0.2</v>
      </c>
      <c r="BH882" s="10"/>
      <c r="BI882" s="10"/>
      <c r="BJ882" s="10"/>
      <c r="BK882" s="10"/>
      <c r="BL882" s="10"/>
      <c r="BM882" s="10"/>
      <c r="BN882" s="10"/>
      <c r="BO882" s="10"/>
      <c r="BP882" s="10">
        <v>12</v>
      </c>
      <c r="BQ882" s="10"/>
      <c r="BR882" s="10" t="s">
        <v>449</v>
      </c>
      <c r="BS882" s="10"/>
      <c r="BT882" s="10"/>
      <c r="BU882" s="10" t="s">
        <v>1878</v>
      </c>
      <c r="BV882">
        <v>34</v>
      </c>
      <c r="BW882">
        <v>0.98</v>
      </c>
      <c r="BX882">
        <v>10</v>
      </c>
      <c r="BY882">
        <v>37</v>
      </c>
      <c r="BZ882">
        <v>0.53</v>
      </c>
      <c r="CA882">
        <v>10</v>
      </c>
      <c r="CB882" t="s">
        <v>113</v>
      </c>
      <c r="CC882" t="s">
        <v>1814</v>
      </c>
    </row>
    <row r="883" spans="1:81" x14ac:dyDescent="0.25">
      <c r="A883" s="10" t="s">
        <v>1778</v>
      </c>
      <c r="B883">
        <v>882</v>
      </c>
      <c r="C883" s="10">
        <v>35</v>
      </c>
      <c r="D883" s="10">
        <v>19</v>
      </c>
      <c r="E883" s="10">
        <v>189</v>
      </c>
      <c r="F883" s="10">
        <v>203</v>
      </c>
      <c r="G883" s="10">
        <v>502</v>
      </c>
      <c r="H883" s="10">
        <v>770</v>
      </c>
      <c r="I883" s="10" t="s">
        <v>1872</v>
      </c>
      <c r="J883" s="10" t="s">
        <v>691</v>
      </c>
      <c r="K883" s="10"/>
      <c r="L883" s="10"/>
      <c r="M883" s="10" t="s">
        <v>85</v>
      </c>
      <c r="N883" s="10"/>
      <c r="O883" s="10" t="s">
        <v>14</v>
      </c>
      <c r="P883" s="10" t="s">
        <v>1873</v>
      </c>
      <c r="Q883" s="10" t="s">
        <v>1874</v>
      </c>
      <c r="R883" s="10">
        <v>1987</v>
      </c>
      <c r="S883" s="10" t="s">
        <v>1736</v>
      </c>
      <c r="T883" s="10"/>
      <c r="U883" s="10" t="s">
        <v>1875</v>
      </c>
      <c r="V883" s="10" t="s">
        <v>1876</v>
      </c>
      <c r="W883" s="10" t="s">
        <v>91</v>
      </c>
      <c r="X883" s="10" t="s">
        <v>126</v>
      </c>
      <c r="Y883" s="10" t="s">
        <v>434</v>
      </c>
      <c r="Z883" s="10" t="s">
        <v>1282</v>
      </c>
      <c r="AA883" s="10" t="s">
        <v>1283</v>
      </c>
      <c r="AB883" s="10" t="s">
        <v>1284</v>
      </c>
      <c r="AC883" s="10" t="s">
        <v>1285</v>
      </c>
      <c r="AD883" s="10" t="s">
        <v>132</v>
      </c>
      <c r="AE883" s="10" t="s">
        <v>133</v>
      </c>
      <c r="AF883" s="10" t="s">
        <v>100</v>
      </c>
      <c r="AG883" s="10" t="s">
        <v>102</v>
      </c>
      <c r="AH883" s="10" t="s">
        <v>102</v>
      </c>
      <c r="AI883" s="10" t="s">
        <v>134</v>
      </c>
      <c r="AJ883" s="10" t="s">
        <v>135</v>
      </c>
      <c r="AK883" s="10"/>
      <c r="AL883" s="10"/>
      <c r="AM883" s="10" t="s">
        <v>136</v>
      </c>
      <c r="AN883" s="10" t="s">
        <v>1286</v>
      </c>
      <c r="AO883" s="10"/>
      <c r="AP883" s="10"/>
      <c r="AQ883" s="10"/>
      <c r="AR883" s="10"/>
      <c r="AS883" s="10"/>
      <c r="AT883" s="10">
        <v>55</v>
      </c>
      <c r="AU883" s="10"/>
      <c r="AV883" s="10"/>
      <c r="AW883" s="10" t="s">
        <v>108</v>
      </c>
      <c r="AX883" s="10">
        <v>10</v>
      </c>
      <c r="AY883" s="10" t="s">
        <v>103</v>
      </c>
      <c r="AZ883" s="10" t="s">
        <v>109</v>
      </c>
      <c r="BA883" s="10" t="s">
        <v>142</v>
      </c>
      <c r="BB883" s="10">
        <v>24</v>
      </c>
      <c r="BC883" s="10">
        <v>32</v>
      </c>
      <c r="BD883" s="10"/>
      <c r="BE883" s="10" t="s">
        <v>139</v>
      </c>
      <c r="BF883" s="10">
        <v>28</v>
      </c>
      <c r="BG883" s="10">
        <v>0.2</v>
      </c>
      <c r="BH883" s="10"/>
      <c r="BI883" s="10"/>
      <c r="BJ883" s="10"/>
      <c r="BK883" s="10"/>
      <c r="BL883" s="10"/>
      <c r="BM883" s="10"/>
      <c r="BN883" s="10"/>
      <c r="BO883" s="10"/>
      <c r="BP883" s="10">
        <v>12</v>
      </c>
      <c r="BQ883" s="10"/>
      <c r="BR883" s="10" t="s">
        <v>449</v>
      </c>
      <c r="BS883" s="10"/>
      <c r="BT883" s="10"/>
      <c r="BU883" s="10" t="s">
        <v>1878</v>
      </c>
      <c r="BV883">
        <v>37</v>
      </c>
      <c r="BW883">
        <v>0.53</v>
      </c>
      <c r="BX883">
        <v>10</v>
      </c>
      <c r="BY883">
        <v>41.6</v>
      </c>
      <c r="BZ883">
        <v>0.62</v>
      </c>
      <c r="CA883">
        <v>10</v>
      </c>
      <c r="CB883" t="s">
        <v>113</v>
      </c>
      <c r="CC883" t="s">
        <v>1814</v>
      </c>
    </row>
    <row r="884" spans="1:81" x14ac:dyDescent="0.25">
      <c r="A884" s="10" t="s">
        <v>1778</v>
      </c>
      <c r="B884">
        <v>883</v>
      </c>
      <c r="C884" s="10">
        <v>35</v>
      </c>
      <c r="D884" s="10">
        <v>19</v>
      </c>
      <c r="E884" s="10">
        <v>190</v>
      </c>
      <c r="F884" s="10">
        <v>204</v>
      </c>
      <c r="G884" s="10">
        <v>503</v>
      </c>
      <c r="H884" s="10">
        <v>771</v>
      </c>
      <c r="I884" s="10" t="s">
        <v>1872</v>
      </c>
      <c r="J884" s="10" t="s">
        <v>691</v>
      </c>
      <c r="K884" s="10"/>
      <c r="L884" s="10"/>
      <c r="M884" s="10" t="s">
        <v>85</v>
      </c>
      <c r="N884" s="10"/>
      <c r="O884" s="10" t="s">
        <v>14</v>
      </c>
      <c r="P884" s="10" t="s">
        <v>1873</v>
      </c>
      <c r="Q884" s="10" t="s">
        <v>1874</v>
      </c>
      <c r="R884" s="10">
        <v>1987</v>
      </c>
      <c r="S884" s="10" t="s">
        <v>1736</v>
      </c>
      <c r="T884" s="10"/>
      <c r="U884" s="10" t="s">
        <v>1875</v>
      </c>
      <c r="V884" s="10" t="s">
        <v>1876</v>
      </c>
      <c r="W884" s="10" t="s">
        <v>91</v>
      </c>
      <c r="X884" s="10" t="s">
        <v>126</v>
      </c>
      <c r="Y884" s="10" t="s">
        <v>434</v>
      </c>
      <c r="Z884" s="10" t="s">
        <v>1282</v>
      </c>
      <c r="AA884" s="10" t="s">
        <v>1283</v>
      </c>
      <c r="AB884" s="10" t="s">
        <v>1284</v>
      </c>
      <c r="AC884" s="10" t="s">
        <v>1285</v>
      </c>
      <c r="AD884" s="10" t="s">
        <v>132</v>
      </c>
      <c r="AE884" s="10" t="s">
        <v>133</v>
      </c>
      <c r="AF884" s="10" t="s">
        <v>100</v>
      </c>
      <c r="AG884" s="10" t="s">
        <v>102</v>
      </c>
      <c r="AH884" s="10" t="s">
        <v>102</v>
      </c>
      <c r="AI884" s="10" t="s">
        <v>134</v>
      </c>
      <c r="AJ884" s="10" t="s">
        <v>135</v>
      </c>
      <c r="AK884" s="10"/>
      <c r="AL884" s="10"/>
      <c r="AM884" s="10" t="s">
        <v>136</v>
      </c>
      <c r="AN884" s="10" t="s">
        <v>1286</v>
      </c>
      <c r="AO884" s="10"/>
      <c r="AP884" s="10"/>
      <c r="AQ884" s="10"/>
      <c r="AR884" s="10"/>
      <c r="AS884" s="10"/>
      <c r="AT884" s="10">
        <v>55</v>
      </c>
      <c r="AU884" s="10"/>
      <c r="AV884" s="10"/>
      <c r="AW884" s="10" t="s">
        <v>108</v>
      </c>
      <c r="AX884" s="10">
        <v>10</v>
      </c>
      <c r="AY884" s="10" t="s">
        <v>103</v>
      </c>
      <c r="AZ884" s="10" t="s">
        <v>109</v>
      </c>
      <c r="BA884" s="10" t="s">
        <v>142</v>
      </c>
      <c r="BB884" s="10">
        <v>8</v>
      </c>
      <c r="BC884" s="10">
        <v>16</v>
      </c>
      <c r="BD884" s="10"/>
      <c r="BE884" s="10" t="s">
        <v>139</v>
      </c>
      <c r="BF884" s="10">
        <v>28</v>
      </c>
      <c r="BG884" s="10">
        <v>0.2</v>
      </c>
      <c r="BH884" s="10"/>
      <c r="BI884" s="10"/>
      <c r="BJ884" s="10"/>
      <c r="BK884" s="10"/>
      <c r="BL884" s="10"/>
      <c r="BM884" s="10"/>
      <c r="BN884" s="10"/>
      <c r="BO884" s="10"/>
      <c r="BP884" s="10">
        <v>12</v>
      </c>
      <c r="BQ884" s="10"/>
      <c r="BR884" s="10" t="s">
        <v>449</v>
      </c>
      <c r="BS884" s="10"/>
      <c r="BT884" s="10"/>
      <c r="BU884" s="10" t="s">
        <v>1879</v>
      </c>
      <c r="BV884">
        <v>30.8</v>
      </c>
      <c r="BW884">
        <v>0.76</v>
      </c>
      <c r="BX884">
        <v>10</v>
      </c>
      <c r="BY884">
        <v>34.4</v>
      </c>
      <c r="BZ884">
        <v>0.47</v>
      </c>
      <c r="CA884">
        <v>10</v>
      </c>
      <c r="CB884" t="s">
        <v>113</v>
      </c>
      <c r="CC884" t="s">
        <v>1814</v>
      </c>
    </row>
    <row r="885" spans="1:81" x14ac:dyDescent="0.25">
      <c r="A885" s="10" t="s">
        <v>1778</v>
      </c>
      <c r="B885">
        <v>884</v>
      </c>
      <c r="C885" s="10">
        <v>35</v>
      </c>
      <c r="D885" s="10">
        <v>19</v>
      </c>
      <c r="E885" s="10">
        <v>190</v>
      </c>
      <c r="F885" s="10">
        <v>204</v>
      </c>
      <c r="G885" s="10">
        <v>503</v>
      </c>
      <c r="H885" s="10">
        <v>772</v>
      </c>
      <c r="I885" s="10" t="s">
        <v>1872</v>
      </c>
      <c r="J885" s="10" t="s">
        <v>691</v>
      </c>
      <c r="K885" s="10"/>
      <c r="L885" s="10"/>
      <c r="M885" s="10" t="s">
        <v>85</v>
      </c>
      <c r="N885" s="10"/>
      <c r="O885" s="10" t="s">
        <v>14</v>
      </c>
      <c r="P885" s="10" t="s">
        <v>1873</v>
      </c>
      <c r="Q885" s="10" t="s">
        <v>1874</v>
      </c>
      <c r="R885" s="10">
        <v>1987</v>
      </c>
      <c r="S885" s="10" t="s">
        <v>1736</v>
      </c>
      <c r="T885" s="10"/>
      <c r="U885" s="10" t="s">
        <v>1875</v>
      </c>
      <c r="V885" s="10" t="s">
        <v>1876</v>
      </c>
      <c r="W885" s="10" t="s">
        <v>91</v>
      </c>
      <c r="X885" s="10" t="s">
        <v>126</v>
      </c>
      <c r="Y885" s="10" t="s">
        <v>434</v>
      </c>
      <c r="Z885" s="10" t="s">
        <v>1282</v>
      </c>
      <c r="AA885" s="10" t="s">
        <v>1283</v>
      </c>
      <c r="AB885" s="10" t="s">
        <v>1284</v>
      </c>
      <c r="AC885" s="10" t="s">
        <v>1285</v>
      </c>
      <c r="AD885" s="10" t="s">
        <v>132</v>
      </c>
      <c r="AE885" s="10" t="s">
        <v>133</v>
      </c>
      <c r="AF885" s="10" t="s">
        <v>100</v>
      </c>
      <c r="AG885" s="10" t="s">
        <v>102</v>
      </c>
      <c r="AH885" s="10" t="s">
        <v>102</v>
      </c>
      <c r="AI885" s="10" t="s">
        <v>134</v>
      </c>
      <c r="AJ885" s="10" t="s">
        <v>135</v>
      </c>
      <c r="AK885" s="10"/>
      <c r="AL885" s="10"/>
      <c r="AM885" s="10" t="s">
        <v>136</v>
      </c>
      <c r="AN885" s="10" t="s">
        <v>1286</v>
      </c>
      <c r="AO885" s="10"/>
      <c r="AP885" s="10"/>
      <c r="AQ885" s="10"/>
      <c r="AR885" s="10"/>
      <c r="AS885" s="10"/>
      <c r="AT885" s="10">
        <v>55</v>
      </c>
      <c r="AU885" s="10"/>
      <c r="AV885" s="10"/>
      <c r="AW885" s="10" t="s">
        <v>108</v>
      </c>
      <c r="AX885" s="10">
        <v>10</v>
      </c>
      <c r="AY885" s="10" t="s">
        <v>103</v>
      </c>
      <c r="AZ885" s="10" t="s">
        <v>109</v>
      </c>
      <c r="BA885" s="10" t="s">
        <v>142</v>
      </c>
      <c r="BB885" s="10">
        <v>16</v>
      </c>
      <c r="BC885" s="10">
        <v>24</v>
      </c>
      <c r="BD885" s="10"/>
      <c r="BE885" s="10" t="s">
        <v>139</v>
      </c>
      <c r="BF885" s="10">
        <v>28</v>
      </c>
      <c r="BG885" s="10">
        <v>0.2</v>
      </c>
      <c r="BH885" s="10"/>
      <c r="BI885" s="10"/>
      <c r="BJ885" s="10"/>
      <c r="BK885" s="10"/>
      <c r="BL885" s="10"/>
      <c r="BM885" s="10"/>
      <c r="BN885" s="10"/>
      <c r="BO885" s="10"/>
      <c r="BP885" s="10">
        <v>12</v>
      </c>
      <c r="BQ885" s="10"/>
      <c r="BR885" s="10" t="s">
        <v>449</v>
      </c>
      <c r="BS885" s="10"/>
      <c r="BT885" s="10"/>
      <c r="BU885" s="10" t="s">
        <v>1879</v>
      </c>
      <c r="BV885">
        <v>34.4</v>
      </c>
      <c r="BW885">
        <v>0.47</v>
      </c>
      <c r="BX885">
        <v>10</v>
      </c>
      <c r="BY885">
        <v>37.9</v>
      </c>
      <c r="BZ885">
        <v>0.49</v>
      </c>
      <c r="CA885">
        <v>10</v>
      </c>
      <c r="CB885" t="s">
        <v>113</v>
      </c>
      <c r="CC885" t="s">
        <v>1814</v>
      </c>
    </row>
    <row r="886" spans="1:81" x14ac:dyDescent="0.25">
      <c r="A886" s="10" t="s">
        <v>1778</v>
      </c>
      <c r="B886">
        <v>885</v>
      </c>
      <c r="C886" s="10">
        <v>35</v>
      </c>
      <c r="D886" s="10">
        <v>19</v>
      </c>
      <c r="E886" s="10">
        <v>190</v>
      </c>
      <c r="F886" s="10">
        <v>204</v>
      </c>
      <c r="G886" s="10">
        <v>503</v>
      </c>
      <c r="H886" s="10">
        <v>773</v>
      </c>
      <c r="I886" s="10" t="s">
        <v>1872</v>
      </c>
      <c r="J886" s="10" t="s">
        <v>691</v>
      </c>
      <c r="K886" s="10"/>
      <c r="L886" s="10"/>
      <c r="M886" s="10" t="s">
        <v>85</v>
      </c>
      <c r="N886" s="10"/>
      <c r="O886" s="10" t="s">
        <v>14</v>
      </c>
      <c r="P886" s="10" t="s">
        <v>1873</v>
      </c>
      <c r="Q886" s="10" t="s">
        <v>1874</v>
      </c>
      <c r="R886" s="10">
        <v>1987</v>
      </c>
      <c r="S886" s="10" t="s">
        <v>1736</v>
      </c>
      <c r="T886" s="10"/>
      <c r="U886" s="10" t="s">
        <v>1875</v>
      </c>
      <c r="V886" s="10" t="s">
        <v>1876</v>
      </c>
      <c r="W886" s="10" t="s">
        <v>91</v>
      </c>
      <c r="X886" s="10" t="s">
        <v>126</v>
      </c>
      <c r="Y886" s="10" t="s">
        <v>434</v>
      </c>
      <c r="Z886" s="10" t="s">
        <v>1282</v>
      </c>
      <c r="AA886" s="10" t="s">
        <v>1283</v>
      </c>
      <c r="AB886" s="10" t="s">
        <v>1284</v>
      </c>
      <c r="AC886" s="10" t="s">
        <v>1285</v>
      </c>
      <c r="AD886" s="10" t="s">
        <v>132</v>
      </c>
      <c r="AE886" s="10" t="s">
        <v>133</v>
      </c>
      <c r="AF886" s="10" t="s">
        <v>100</v>
      </c>
      <c r="AG886" s="10" t="s">
        <v>102</v>
      </c>
      <c r="AH886" s="10" t="s">
        <v>102</v>
      </c>
      <c r="AI886" s="10" t="s">
        <v>134</v>
      </c>
      <c r="AJ886" s="10" t="s">
        <v>135</v>
      </c>
      <c r="AK886" s="10"/>
      <c r="AL886" s="10"/>
      <c r="AM886" s="10" t="s">
        <v>136</v>
      </c>
      <c r="AN886" s="10" t="s">
        <v>1286</v>
      </c>
      <c r="AO886" s="10"/>
      <c r="AP886" s="10"/>
      <c r="AQ886" s="10"/>
      <c r="AR886" s="10"/>
      <c r="AS886" s="10"/>
      <c r="AT886" s="10">
        <v>55</v>
      </c>
      <c r="AU886" s="10"/>
      <c r="AV886" s="10"/>
      <c r="AW886" s="10" t="s">
        <v>108</v>
      </c>
      <c r="AX886" s="10">
        <v>10</v>
      </c>
      <c r="AY886" s="10" t="s">
        <v>103</v>
      </c>
      <c r="AZ886" s="10" t="s">
        <v>109</v>
      </c>
      <c r="BA886" s="10" t="s">
        <v>142</v>
      </c>
      <c r="BB886" s="10">
        <v>24</v>
      </c>
      <c r="BC886" s="10">
        <v>32</v>
      </c>
      <c r="BD886" s="10"/>
      <c r="BE886" s="10" t="s">
        <v>139</v>
      </c>
      <c r="BF886" s="10">
        <v>28</v>
      </c>
      <c r="BG886" s="10">
        <v>0.2</v>
      </c>
      <c r="BH886" s="10"/>
      <c r="BI886" s="10"/>
      <c r="BJ886" s="10"/>
      <c r="BK886" s="10"/>
      <c r="BL886" s="10"/>
      <c r="BM886" s="10"/>
      <c r="BN886" s="10"/>
      <c r="BO886" s="10"/>
      <c r="BP886" s="10">
        <v>12</v>
      </c>
      <c r="BQ886" s="10"/>
      <c r="BR886" s="10" t="s">
        <v>449</v>
      </c>
      <c r="BS886" s="10"/>
      <c r="BT886" s="10"/>
      <c r="BU886" s="10" t="s">
        <v>1879</v>
      </c>
      <c r="BV886">
        <v>37.9</v>
      </c>
      <c r="BW886">
        <v>0.49</v>
      </c>
      <c r="BX886">
        <v>10</v>
      </c>
      <c r="BY886">
        <v>41.9</v>
      </c>
      <c r="BZ886">
        <v>0.51</v>
      </c>
      <c r="CA886">
        <v>10</v>
      </c>
      <c r="CB886" t="s">
        <v>113</v>
      </c>
      <c r="CC886" t="s">
        <v>1814</v>
      </c>
    </row>
    <row r="887" spans="1:81" x14ac:dyDescent="0.25">
      <c r="A887" s="10" t="s">
        <v>1778</v>
      </c>
      <c r="B887">
        <v>886</v>
      </c>
      <c r="C887" s="10">
        <v>35</v>
      </c>
      <c r="D887" s="10">
        <v>19</v>
      </c>
      <c r="E887" s="10">
        <v>190</v>
      </c>
      <c r="F887" s="10">
        <v>205</v>
      </c>
      <c r="G887" s="10">
        <v>504</v>
      </c>
      <c r="H887" s="10">
        <v>774</v>
      </c>
      <c r="I887" s="10" t="s">
        <v>1872</v>
      </c>
      <c r="J887" s="10" t="s">
        <v>691</v>
      </c>
      <c r="K887" s="10"/>
      <c r="L887" s="10"/>
      <c r="M887" s="10" t="s">
        <v>85</v>
      </c>
      <c r="N887" s="10"/>
      <c r="O887" s="10" t="s">
        <v>14</v>
      </c>
      <c r="P887" s="10" t="s">
        <v>1873</v>
      </c>
      <c r="Q887" s="10" t="s">
        <v>1874</v>
      </c>
      <c r="R887" s="10">
        <v>1987</v>
      </c>
      <c r="S887" s="10" t="s">
        <v>1736</v>
      </c>
      <c r="T887" s="10"/>
      <c r="U887" s="10" t="s">
        <v>1875</v>
      </c>
      <c r="V887" s="10" t="s">
        <v>1876</v>
      </c>
      <c r="W887" s="10" t="s">
        <v>91</v>
      </c>
      <c r="X887" s="10" t="s">
        <v>126</v>
      </c>
      <c r="Y887" s="10" t="s">
        <v>434</v>
      </c>
      <c r="Z887" s="10" t="s">
        <v>1282</v>
      </c>
      <c r="AA887" s="10" t="s">
        <v>1283</v>
      </c>
      <c r="AB887" s="10" t="s">
        <v>1284</v>
      </c>
      <c r="AC887" s="10" t="s">
        <v>1285</v>
      </c>
      <c r="AD887" s="10" t="s">
        <v>132</v>
      </c>
      <c r="AE887" s="10" t="s">
        <v>133</v>
      </c>
      <c r="AF887" s="10" t="s">
        <v>100</v>
      </c>
      <c r="AG887" s="10" t="s">
        <v>102</v>
      </c>
      <c r="AH887" s="10" t="s">
        <v>102</v>
      </c>
      <c r="AI887" s="10" t="s">
        <v>134</v>
      </c>
      <c r="AJ887" s="10" t="s">
        <v>135</v>
      </c>
      <c r="AK887" s="10"/>
      <c r="AL887" s="10"/>
      <c r="AM887" s="10" t="s">
        <v>136</v>
      </c>
      <c r="AN887" s="10" t="s">
        <v>1286</v>
      </c>
      <c r="AO887" s="10">
        <v>28.790240000000001</v>
      </c>
      <c r="AP887" s="10">
        <v>-81.6995</v>
      </c>
      <c r="AQ887" s="10"/>
      <c r="AR887" s="10" t="s">
        <v>439</v>
      </c>
      <c r="AS887" s="10">
        <v>1980</v>
      </c>
      <c r="AT887" s="10">
        <v>55</v>
      </c>
      <c r="AU887" s="10"/>
      <c r="AV887" s="10"/>
      <c r="AW887" s="10" t="s">
        <v>108</v>
      </c>
      <c r="AX887" s="10">
        <v>10</v>
      </c>
      <c r="AY887" s="10" t="s">
        <v>103</v>
      </c>
      <c r="AZ887" s="10" t="s">
        <v>109</v>
      </c>
      <c r="BA887" s="10" t="s">
        <v>142</v>
      </c>
      <c r="BB887" s="10">
        <v>8</v>
      </c>
      <c r="BC887" s="10">
        <v>16</v>
      </c>
      <c r="BD887" s="10"/>
      <c r="BE887" s="10" t="s">
        <v>139</v>
      </c>
      <c r="BF887" s="10">
        <v>28</v>
      </c>
      <c r="BG887" s="10">
        <v>0.2</v>
      </c>
      <c r="BH887" s="10"/>
      <c r="BI887" s="10"/>
      <c r="BJ887" s="10"/>
      <c r="BK887" s="10"/>
      <c r="BL887" s="10"/>
      <c r="BM887" s="10"/>
      <c r="BN887" s="10"/>
      <c r="BO887" s="10"/>
      <c r="BP887" s="10">
        <v>12</v>
      </c>
      <c r="BQ887" s="10"/>
      <c r="BR887" s="10" t="s">
        <v>449</v>
      </c>
      <c r="BS887" s="10"/>
      <c r="BT887" s="10"/>
      <c r="BU887" s="10" t="s">
        <v>1880</v>
      </c>
      <c r="BV887">
        <v>30.4</v>
      </c>
      <c r="BW887">
        <v>0.97</v>
      </c>
      <c r="BX887">
        <v>10</v>
      </c>
      <c r="BY887">
        <v>34.1</v>
      </c>
      <c r="BZ887">
        <v>0.48</v>
      </c>
      <c r="CA887">
        <v>10</v>
      </c>
      <c r="CB887" t="s">
        <v>113</v>
      </c>
      <c r="CC887" t="s">
        <v>1814</v>
      </c>
    </row>
    <row r="888" spans="1:81" x14ac:dyDescent="0.25">
      <c r="A888" s="10" t="s">
        <v>1778</v>
      </c>
      <c r="B888">
        <v>887</v>
      </c>
      <c r="C888" s="10">
        <v>35</v>
      </c>
      <c r="D888" s="10">
        <v>19</v>
      </c>
      <c r="E888" s="10">
        <v>190</v>
      </c>
      <c r="F888" s="10">
        <v>205</v>
      </c>
      <c r="G888" s="10">
        <v>504</v>
      </c>
      <c r="H888" s="10">
        <v>775</v>
      </c>
      <c r="I888" s="10" t="s">
        <v>1872</v>
      </c>
      <c r="J888" s="10" t="s">
        <v>691</v>
      </c>
      <c r="K888" s="10"/>
      <c r="L888" s="10"/>
      <c r="M888" s="10" t="s">
        <v>85</v>
      </c>
      <c r="N888" s="10"/>
      <c r="O888" s="10" t="s">
        <v>14</v>
      </c>
      <c r="P888" s="10" t="s">
        <v>1873</v>
      </c>
      <c r="Q888" s="10" t="s">
        <v>1874</v>
      </c>
      <c r="R888" s="10">
        <v>1987</v>
      </c>
      <c r="S888" s="10" t="s">
        <v>1736</v>
      </c>
      <c r="T888" s="10"/>
      <c r="U888" s="10" t="s">
        <v>1875</v>
      </c>
      <c r="V888" s="10" t="s">
        <v>1876</v>
      </c>
      <c r="W888" s="10" t="s">
        <v>91</v>
      </c>
      <c r="X888" s="10" t="s">
        <v>126</v>
      </c>
      <c r="Y888" s="10" t="s">
        <v>434</v>
      </c>
      <c r="Z888" s="10" t="s">
        <v>1282</v>
      </c>
      <c r="AA888" s="10" t="s">
        <v>1283</v>
      </c>
      <c r="AB888" s="10" t="s">
        <v>1284</v>
      </c>
      <c r="AC888" s="10" t="s">
        <v>1285</v>
      </c>
      <c r="AD888" s="10" t="s">
        <v>132</v>
      </c>
      <c r="AE888" s="10" t="s">
        <v>133</v>
      </c>
      <c r="AF888" s="10" t="s">
        <v>100</v>
      </c>
      <c r="AG888" s="10" t="s">
        <v>102</v>
      </c>
      <c r="AH888" s="10" t="s">
        <v>102</v>
      </c>
      <c r="AI888" s="10" t="s">
        <v>134</v>
      </c>
      <c r="AJ888" s="10" t="s">
        <v>135</v>
      </c>
      <c r="AK888" s="10"/>
      <c r="AL888" s="10"/>
      <c r="AM888" s="10" t="s">
        <v>136</v>
      </c>
      <c r="AN888" s="10" t="s">
        <v>1286</v>
      </c>
      <c r="AO888" s="10">
        <v>28.790240000000001</v>
      </c>
      <c r="AP888" s="10">
        <v>-81.6995</v>
      </c>
      <c r="AQ888" s="10"/>
      <c r="AR888" s="10" t="s">
        <v>439</v>
      </c>
      <c r="AS888" s="10">
        <v>1980</v>
      </c>
      <c r="AT888" s="10">
        <v>55</v>
      </c>
      <c r="AU888" s="10"/>
      <c r="AV888" s="10"/>
      <c r="AW888" s="10" t="s">
        <v>108</v>
      </c>
      <c r="AX888" s="10">
        <v>10</v>
      </c>
      <c r="AY888" s="10" t="s">
        <v>103</v>
      </c>
      <c r="AZ888" s="10" t="s">
        <v>109</v>
      </c>
      <c r="BA888" s="10" t="s">
        <v>142</v>
      </c>
      <c r="BB888" s="10">
        <v>16</v>
      </c>
      <c r="BC888" s="10">
        <v>24</v>
      </c>
      <c r="BD888" s="10"/>
      <c r="BE888" s="10" t="s">
        <v>139</v>
      </c>
      <c r="BF888" s="10">
        <v>28</v>
      </c>
      <c r="BG888" s="10">
        <v>0.2</v>
      </c>
      <c r="BH888" s="10"/>
      <c r="BI888" s="10"/>
      <c r="BJ888" s="10"/>
      <c r="BK888" s="10"/>
      <c r="BL888" s="10"/>
      <c r="BM888" s="10"/>
      <c r="BN888" s="10"/>
      <c r="BO888" s="10"/>
      <c r="BP888" s="10">
        <v>12</v>
      </c>
      <c r="BQ888" s="10"/>
      <c r="BR888" s="10" t="s">
        <v>449</v>
      </c>
      <c r="BS888" s="10"/>
      <c r="BT888" s="10"/>
      <c r="BU888" s="10" t="s">
        <v>1880</v>
      </c>
      <c r="BV888">
        <v>34.1</v>
      </c>
      <c r="BW888">
        <v>0.48</v>
      </c>
      <c r="BX888">
        <v>10</v>
      </c>
      <c r="BY888">
        <v>37.5</v>
      </c>
      <c r="BZ888">
        <v>0.64</v>
      </c>
      <c r="CA888">
        <v>10</v>
      </c>
      <c r="CB888" t="s">
        <v>113</v>
      </c>
      <c r="CC888" t="s">
        <v>1814</v>
      </c>
    </row>
    <row r="889" spans="1:81" x14ac:dyDescent="0.25">
      <c r="A889" s="10" t="s">
        <v>1778</v>
      </c>
      <c r="B889">
        <v>888</v>
      </c>
      <c r="C889" s="10">
        <v>35</v>
      </c>
      <c r="D889" s="10">
        <v>19</v>
      </c>
      <c r="E889" s="10">
        <v>190</v>
      </c>
      <c r="F889" s="10">
        <v>205</v>
      </c>
      <c r="G889" s="10">
        <v>504</v>
      </c>
      <c r="H889" s="10">
        <v>776</v>
      </c>
      <c r="I889" s="10" t="s">
        <v>1872</v>
      </c>
      <c r="J889" s="10" t="s">
        <v>691</v>
      </c>
      <c r="K889" s="10"/>
      <c r="L889" s="10"/>
      <c r="M889" s="10" t="s">
        <v>85</v>
      </c>
      <c r="N889" s="10"/>
      <c r="O889" s="10" t="s">
        <v>14</v>
      </c>
      <c r="P889" s="10" t="s">
        <v>1873</v>
      </c>
      <c r="Q889" s="10" t="s">
        <v>1874</v>
      </c>
      <c r="R889" s="10">
        <v>1987</v>
      </c>
      <c r="S889" s="10" t="s">
        <v>1736</v>
      </c>
      <c r="T889" s="10"/>
      <c r="U889" s="10" t="s">
        <v>1875</v>
      </c>
      <c r="V889" s="10" t="s">
        <v>1876</v>
      </c>
      <c r="W889" s="10" t="s">
        <v>91</v>
      </c>
      <c r="X889" s="10" t="s">
        <v>126</v>
      </c>
      <c r="Y889" s="10" t="s">
        <v>434</v>
      </c>
      <c r="Z889" s="10" t="s">
        <v>1282</v>
      </c>
      <c r="AA889" s="10" t="s">
        <v>1283</v>
      </c>
      <c r="AB889" s="10" t="s">
        <v>1284</v>
      </c>
      <c r="AC889" s="10" t="s">
        <v>1285</v>
      </c>
      <c r="AD889" s="10" t="s">
        <v>132</v>
      </c>
      <c r="AE889" s="10" t="s">
        <v>133</v>
      </c>
      <c r="AF889" s="10" t="s">
        <v>100</v>
      </c>
      <c r="AG889" s="10" t="s">
        <v>102</v>
      </c>
      <c r="AH889" s="10" t="s">
        <v>102</v>
      </c>
      <c r="AI889" s="10" t="s">
        <v>134</v>
      </c>
      <c r="AJ889" s="10" t="s">
        <v>135</v>
      </c>
      <c r="AK889" s="10"/>
      <c r="AL889" s="10"/>
      <c r="AM889" s="10" t="s">
        <v>136</v>
      </c>
      <c r="AN889" s="10" t="s">
        <v>1286</v>
      </c>
      <c r="AO889" s="10">
        <v>28.790240000000001</v>
      </c>
      <c r="AP889" s="10">
        <v>-81.6995</v>
      </c>
      <c r="AQ889" s="10"/>
      <c r="AR889" s="10" t="s">
        <v>439</v>
      </c>
      <c r="AS889" s="10">
        <v>1980</v>
      </c>
      <c r="AT889" s="10">
        <v>55</v>
      </c>
      <c r="AU889" s="10"/>
      <c r="AV889" s="10"/>
      <c r="AW889" s="10" t="s">
        <v>108</v>
      </c>
      <c r="AX889" s="10">
        <v>10</v>
      </c>
      <c r="AY889" s="10" t="s">
        <v>103</v>
      </c>
      <c r="AZ889" s="10" t="s">
        <v>109</v>
      </c>
      <c r="BA889" s="10" t="s">
        <v>142</v>
      </c>
      <c r="BB889" s="10">
        <v>24</v>
      </c>
      <c r="BC889" s="10">
        <v>32</v>
      </c>
      <c r="BD889" s="10"/>
      <c r="BE889" s="10" t="s">
        <v>139</v>
      </c>
      <c r="BF889" s="10">
        <v>28</v>
      </c>
      <c r="BG889" s="10">
        <v>0.2</v>
      </c>
      <c r="BH889" s="10"/>
      <c r="BI889" s="10"/>
      <c r="BJ889" s="10"/>
      <c r="BK889" s="10"/>
      <c r="BL889" s="10"/>
      <c r="BM889" s="10"/>
      <c r="BN889" s="10"/>
      <c r="BO889" s="10"/>
      <c r="BP889" s="10">
        <v>12</v>
      </c>
      <c r="BQ889" s="10"/>
      <c r="BR889" s="10" t="s">
        <v>449</v>
      </c>
      <c r="BS889" s="10"/>
      <c r="BT889" s="10"/>
      <c r="BU889" s="10" t="s">
        <v>1880</v>
      </c>
      <c r="BV889">
        <v>37.5</v>
      </c>
      <c r="BW889">
        <v>0.64</v>
      </c>
      <c r="BX889">
        <v>10</v>
      </c>
      <c r="BY889">
        <v>41.8</v>
      </c>
      <c r="BZ889">
        <v>0.38</v>
      </c>
      <c r="CA889">
        <v>10</v>
      </c>
      <c r="CB889" t="s">
        <v>113</v>
      </c>
      <c r="CC889" t="s">
        <v>1814</v>
      </c>
    </row>
    <row r="890" spans="1:81" x14ac:dyDescent="0.25">
      <c r="A890" s="10" t="s">
        <v>1778</v>
      </c>
      <c r="B890">
        <v>889</v>
      </c>
      <c r="C890" s="10">
        <v>34</v>
      </c>
      <c r="D890" s="10">
        <v>33</v>
      </c>
      <c r="E890" s="10">
        <v>191</v>
      </c>
      <c r="F890" s="10">
        <v>206</v>
      </c>
      <c r="G890" s="10">
        <v>505</v>
      </c>
      <c r="H890" s="10">
        <v>777</v>
      </c>
      <c r="I890" s="10"/>
      <c r="J890" s="10" t="s">
        <v>143</v>
      </c>
      <c r="K890" s="10"/>
      <c r="L890" s="10"/>
      <c r="M890" s="10" t="s">
        <v>85</v>
      </c>
      <c r="N890" s="10"/>
      <c r="O890" s="10" t="s">
        <v>14</v>
      </c>
      <c r="P890" s="10" t="s">
        <v>1881</v>
      </c>
      <c r="Q890" s="10" t="s">
        <v>1882</v>
      </c>
      <c r="R890" s="10">
        <v>2016</v>
      </c>
      <c r="S890" s="10" t="s">
        <v>289</v>
      </c>
      <c r="T890" s="10"/>
      <c r="U890" s="10" t="s">
        <v>1883</v>
      </c>
      <c r="V890" s="10" t="s">
        <v>1884</v>
      </c>
      <c r="W890" s="10" t="s">
        <v>91</v>
      </c>
      <c r="X890" s="10" t="s">
        <v>126</v>
      </c>
      <c r="Y890" s="10" t="s">
        <v>824</v>
      </c>
      <c r="Z890" s="10" t="s">
        <v>825</v>
      </c>
      <c r="AA890" s="10" t="s">
        <v>1885</v>
      </c>
      <c r="AB890" s="10" t="s">
        <v>1886</v>
      </c>
      <c r="AC890" s="10" t="s">
        <v>1887</v>
      </c>
      <c r="AD890" s="10" t="s">
        <v>132</v>
      </c>
      <c r="AE890" s="10" t="s">
        <v>133</v>
      </c>
      <c r="AF890" s="10" t="s">
        <v>100</v>
      </c>
      <c r="AG890" s="10" t="s">
        <v>261</v>
      </c>
      <c r="AH890" s="10" t="s">
        <v>102</v>
      </c>
      <c r="AI890" s="10" t="s">
        <v>134</v>
      </c>
      <c r="AJ890" s="10" t="s">
        <v>135</v>
      </c>
      <c r="AK890" s="10"/>
      <c r="AL890" s="10"/>
      <c r="AM890" s="10" t="s">
        <v>178</v>
      </c>
      <c r="AN890" s="10" t="s">
        <v>106</v>
      </c>
      <c r="AO890" s="10"/>
      <c r="AP890" s="10"/>
      <c r="AQ890" s="10"/>
      <c r="AR890" s="10"/>
      <c r="AS890" s="10">
        <v>2010</v>
      </c>
      <c r="AT890" s="10"/>
      <c r="AU890" s="10"/>
      <c r="AV890" s="10">
        <v>30</v>
      </c>
      <c r="AW890" s="10" t="s">
        <v>108</v>
      </c>
      <c r="AX890" s="10"/>
      <c r="AY890" s="10"/>
      <c r="AZ890" s="10" t="s">
        <v>109</v>
      </c>
      <c r="BA890" s="10" t="s">
        <v>142</v>
      </c>
      <c r="BB890" s="10">
        <v>15</v>
      </c>
      <c r="BC890" s="10">
        <v>17.100000000000001</v>
      </c>
      <c r="BD890" s="10">
        <v>0.3</v>
      </c>
      <c r="BE890" s="10" t="s">
        <v>139</v>
      </c>
      <c r="BF890" s="10">
        <v>30</v>
      </c>
      <c r="BG890" s="10">
        <v>0.03</v>
      </c>
      <c r="BH890" s="10"/>
      <c r="BI890" s="10"/>
      <c r="BJ890" s="10"/>
      <c r="BK890" s="10"/>
      <c r="BL890" s="10"/>
      <c r="BM890" s="10"/>
      <c r="BN890" s="10">
        <v>35.1</v>
      </c>
      <c r="BO890" s="10"/>
      <c r="BP890" s="10">
        <v>14</v>
      </c>
      <c r="BQ890" s="10"/>
      <c r="BR890" s="10" t="s">
        <v>449</v>
      </c>
      <c r="BS890" s="10"/>
      <c r="BT890" s="10"/>
      <c r="BU890" s="10" t="s">
        <v>1888</v>
      </c>
      <c r="BV890">
        <v>26.5</v>
      </c>
      <c r="BW890">
        <v>2</v>
      </c>
      <c r="BX890">
        <v>3</v>
      </c>
      <c r="BY890">
        <v>27.4</v>
      </c>
      <c r="BZ890">
        <v>2.1</v>
      </c>
      <c r="CA890">
        <v>3</v>
      </c>
      <c r="CB890" t="s">
        <v>113</v>
      </c>
      <c r="CC890" t="s">
        <v>1889</v>
      </c>
    </row>
    <row r="891" spans="1:81" x14ac:dyDescent="0.25">
      <c r="A891" s="10" t="s">
        <v>1778</v>
      </c>
      <c r="B891">
        <v>890</v>
      </c>
      <c r="C891" s="10">
        <v>31</v>
      </c>
      <c r="D891" s="10">
        <v>31</v>
      </c>
      <c r="E891" s="10">
        <v>192</v>
      </c>
      <c r="F891" s="10">
        <v>207</v>
      </c>
      <c r="G891" s="10">
        <v>506</v>
      </c>
      <c r="H891" s="10">
        <v>778</v>
      </c>
      <c r="I891" s="10" t="s">
        <v>322</v>
      </c>
      <c r="J891" s="10" t="s">
        <v>691</v>
      </c>
      <c r="K891" s="10"/>
      <c r="L891" s="10"/>
      <c r="M891" s="10" t="s">
        <v>85</v>
      </c>
      <c r="N891" s="10"/>
      <c r="O891" s="10" t="s">
        <v>14</v>
      </c>
      <c r="P891" s="10" t="s">
        <v>1890</v>
      </c>
      <c r="Q891" s="10" t="s">
        <v>1891</v>
      </c>
      <c r="R891" s="10">
        <v>2012</v>
      </c>
      <c r="S891" s="10" t="s">
        <v>146</v>
      </c>
      <c r="T891" s="10"/>
      <c r="U891" s="10" t="s">
        <v>1892</v>
      </c>
      <c r="V891" s="10" t="s">
        <v>1893</v>
      </c>
      <c r="W891" s="10" t="s">
        <v>91</v>
      </c>
      <c r="X891" s="10" t="s">
        <v>126</v>
      </c>
      <c r="Y891" s="10" t="s">
        <v>434</v>
      </c>
      <c r="Z891" s="10" t="s">
        <v>707</v>
      </c>
      <c r="AA891" s="10" t="s">
        <v>708</v>
      </c>
      <c r="AB891" s="10" t="s">
        <v>709</v>
      </c>
      <c r="AC891" s="10" t="s">
        <v>710</v>
      </c>
      <c r="AD891" s="10" t="s">
        <v>132</v>
      </c>
      <c r="AE891" s="10" t="s">
        <v>133</v>
      </c>
      <c r="AF891" s="10" t="s">
        <v>100</v>
      </c>
      <c r="AG891" s="10" t="s">
        <v>102</v>
      </c>
      <c r="AH891" s="10" t="s">
        <v>102</v>
      </c>
      <c r="AI891" s="10" t="s">
        <v>134</v>
      </c>
      <c r="AJ891" s="10" t="s">
        <v>135</v>
      </c>
      <c r="AK891" s="10"/>
      <c r="AL891" s="10"/>
      <c r="AM891" s="10" t="s">
        <v>136</v>
      </c>
      <c r="AN891" s="10" t="s">
        <v>106</v>
      </c>
      <c r="AO891" s="10"/>
      <c r="AP891" s="10"/>
      <c r="AQ891" s="10"/>
      <c r="AR891" s="10"/>
      <c r="AS891" s="10"/>
      <c r="AT891" s="10"/>
      <c r="AU891" s="10">
        <f>(47.54+51.77)/2</f>
        <v>49.655000000000001</v>
      </c>
      <c r="AV891" s="10"/>
      <c r="AW891" s="10" t="s">
        <v>108</v>
      </c>
      <c r="AX891" s="10">
        <v>15</v>
      </c>
      <c r="AY891" s="10" t="s">
        <v>134</v>
      </c>
      <c r="AZ891" s="10" t="s">
        <v>109</v>
      </c>
      <c r="BA891" s="10" t="s">
        <v>138</v>
      </c>
      <c r="BB891" s="10">
        <v>15</v>
      </c>
      <c r="BC891" s="10">
        <v>20</v>
      </c>
      <c r="BD891" s="10"/>
      <c r="BE891" s="10" t="s">
        <v>139</v>
      </c>
      <c r="BF891" s="10">
        <v>42</v>
      </c>
      <c r="BG891" s="10">
        <v>0.3</v>
      </c>
      <c r="BH891" s="10"/>
      <c r="BI891" s="10"/>
      <c r="BJ891" s="10"/>
      <c r="BK891" s="10"/>
      <c r="BL891" s="10"/>
      <c r="BM891" s="10"/>
      <c r="BN891" s="10">
        <v>38</v>
      </c>
      <c r="BO891" s="10"/>
      <c r="BP891" s="10">
        <v>12</v>
      </c>
      <c r="BQ891" s="10"/>
      <c r="BR891" s="10" t="s">
        <v>69</v>
      </c>
      <c r="BS891" s="10" t="s">
        <v>515</v>
      </c>
      <c r="BT891" s="10"/>
      <c r="BU891" s="10" t="s">
        <v>1894</v>
      </c>
      <c r="BV891">
        <v>33.229999999999997</v>
      </c>
      <c r="BW891">
        <v>0.67</v>
      </c>
      <c r="BX891">
        <v>15</v>
      </c>
      <c r="BY891">
        <v>34.840000000000003</v>
      </c>
      <c r="BZ891">
        <v>0.37</v>
      </c>
      <c r="CA891">
        <v>15</v>
      </c>
      <c r="CB891" t="s">
        <v>113</v>
      </c>
      <c r="CC891" t="s">
        <v>1814</v>
      </c>
    </row>
    <row r="892" spans="1:81" x14ac:dyDescent="0.25">
      <c r="A892" s="10" t="s">
        <v>1778</v>
      </c>
      <c r="B892">
        <v>891</v>
      </c>
      <c r="C892" s="10">
        <v>31</v>
      </c>
      <c r="D892" s="10">
        <v>31</v>
      </c>
      <c r="E892" s="10">
        <v>192</v>
      </c>
      <c r="F892" s="10">
        <v>207</v>
      </c>
      <c r="G892" s="10">
        <v>506</v>
      </c>
      <c r="H892" s="10">
        <v>779</v>
      </c>
      <c r="I892" s="10" t="s">
        <v>322</v>
      </c>
      <c r="J892" s="10" t="s">
        <v>691</v>
      </c>
      <c r="K892" s="10"/>
      <c r="L892" s="10"/>
      <c r="M892" s="10" t="s">
        <v>85</v>
      </c>
      <c r="N892" s="10"/>
      <c r="O892" s="10" t="s">
        <v>14</v>
      </c>
      <c r="P892" s="10" t="s">
        <v>1890</v>
      </c>
      <c r="Q892" s="10" t="s">
        <v>1891</v>
      </c>
      <c r="R892" s="10">
        <v>2012</v>
      </c>
      <c r="S892" s="10" t="s">
        <v>146</v>
      </c>
      <c r="T892" s="10"/>
      <c r="U892" s="10" t="s">
        <v>1892</v>
      </c>
      <c r="V892" s="10" t="s">
        <v>1893</v>
      </c>
      <c r="W892" s="10" t="s">
        <v>91</v>
      </c>
      <c r="X892" s="10" t="s">
        <v>126</v>
      </c>
      <c r="Y892" s="10" t="s">
        <v>434</v>
      </c>
      <c r="Z892" s="10" t="s">
        <v>707</v>
      </c>
      <c r="AA892" s="10" t="s">
        <v>708</v>
      </c>
      <c r="AB892" s="10" t="s">
        <v>709</v>
      </c>
      <c r="AC892" s="10" t="s">
        <v>710</v>
      </c>
      <c r="AD892" s="10" t="s">
        <v>132</v>
      </c>
      <c r="AE892" s="10" t="s">
        <v>133</v>
      </c>
      <c r="AF892" s="10" t="s">
        <v>100</v>
      </c>
      <c r="AG892" s="10" t="s">
        <v>102</v>
      </c>
      <c r="AH892" s="10" t="s">
        <v>102</v>
      </c>
      <c r="AI892" s="10" t="s">
        <v>134</v>
      </c>
      <c r="AJ892" s="10" t="s">
        <v>135</v>
      </c>
      <c r="AK892" s="10"/>
      <c r="AL892" s="10"/>
      <c r="AM892" s="10" t="s">
        <v>136</v>
      </c>
      <c r="AN892" s="10" t="s">
        <v>106</v>
      </c>
      <c r="AO892" s="10"/>
      <c r="AP892" s="10"/>
      <c r="AQ892" s="10"/>
      <c r="AR892" s="10"/>
      <c r="AS892" s="10"/>
      <c r="AT892" s="10"/>
      <c r="AU892" s="10">
        <f>(51.77+60.76)/2</f>
        <v>56.265000000000001</v>
      </c>
      <c r="AV892" s="10"/>
      <c r="AW892" s="10" t="s">
        <v>108</v>
      </c>
      <c r="AX892" s="10">
        <v>15</v>
      </c>
      <c r="AY892" s="10" t="s">
        <v>103</v>
      </c>
      <c r="AZ892" s="10" t="s">
        <v>109</v>
      </c>
      <c r="BA892" s="10" t="s">
        <v>138</v>
      </c>
      <c r="BB892" s="10">
        <v>20</v>
      </c>
      <c r="BC892" s="10">
        <v>25</v>
      </c>
      <c r="BD892" s="10"/>
      <c r="BE892" s="10" t="s">
        <v>139</v>
      </c>
      <c r="BF892" s="10">
        <v>42</v>
      </c>
      <c r="BG892" s="10">
        <v>0.3</v>
      </c>
      <c r="BH892" s="10"/>
      <c r="BI892" s="10"/>
      <c r="BJ892" s="10"/>
      <c r="BK892" s="10"/>
      <c r="BL892" s="10"/>
      <c r="BM892" s="10"/>
      <c r="BN892" s="10">
        <v>38</v>
      </c>
      <c r="BO892" s="10"/>
      <c r="BP892" s="10">
        <v>12</v>
      </c>
      <c r="BQ892" s="10"/>
      <c r="BR892" s="10" t="s">
        <v>69</v>
      </c>
      <c r="BS892" s="10"/>
      <c r="BT892" s="10"/>
      <c r="BU892" s="10" t="s">
        <v>1895</v>
      </c>
      <c r="BV892">
        <v>34.840000000000003</v>
      </c>
      <c r="BW892">
        <v>0.37</v>
      </c>
      <c r="BX892">
        <v>15</v>
      </c>
      <c r="BY892">
        <v>35.94</v>
      </c>
      <c r="BZ892">
        <v>0.41</v>
      </c>
      <c r="CA892">
        <v>15</v>
      </c>
      <c r="CB892" t="s">
        <v>113</v>
      </c>
      <c r="CC892" t="s">
        <v>1814</v>
      </c>
    </row>
    <row r="893" spans="1:81" x14ac:dyDescent="0.25">
      <c r="A893" s="10" t="s">
        <v>1778</v>
      </c>
      <c r="B893">
        <v>892</v>
      </c>
      <c r="C893" s="10">
        <v>29</v>
      </c>
      <c r="D893" s="10">
        <v>29</v>
      </c>
      <c r="E893" s="10">
        <v>193</v>
      </c>
      <c r="F893" s="10">
        <v>208</v>
      </c>
      <c r="G893" s="10">
        <v>507</v>
      </c>
      <c r="H893" s="10">
        <v>780</v>
      </c>
      <c r="I893" s="10" t="s">
        <v>322</v>
      </c>
      <c r="J893" s="10" t="s">
        <v>691</v>
      </c>
      <c r="K893" s="10"/>
      <c r="L893" s="10"/>
      <c r="M893" s="10" t="s">
        <v>85</v>
      </c>
      <c r="N893" s="10"/>
      <c r="O893" s="10" t="s">
        <v>14</v>
      </c>
      <c r="P893" s="10" t="s">
        <v>1896</v>
      </c>
      <c r="Q893" s="10" t="s">
        <v>1897</v>
      </c>
      <c r="R893" s="10">
        <v>1998</v>
      </c>
      <c r="S893" s="10" t="s">
        <v>146</v>
      </c>
      <c r="T893" s="10"/>
      <c r="U893" s="10" t="s">
        <v>1898</v>
      </c>
      <c r="V893" s="10" t="s">
        <v>1899</v>
      </c>
      <c r="W893" s="10" t="s">
        <v>170</v>
      </c>
      <c r="X893" s="10" t="s">
        <v>965</v>
      </c>
      <c r="Y893" s="10" t="s">
        <v>966</v>
      </c>
      <c r="Z893" s="10" t="s">
        <v>1900</v>
      </c>
      <c r="AA893" s="10" t="s">
        <v>1901</v>
      </c>
      <c r="AB893" s="10" t="s">
        <v>1902</v>
      </c>
      <c r="AC893" s="10" t="s">
        <v>1903</v>
      </c>
      <c r="AD893" s="10" t="s">
        <v>132</v>
      </c>
      <c r="AE893" s="10" t="s">
        <v>316</v>
      </c>
      <c r="AF893" s="10" t="s">
        <v>260</v>
      </c>
      <c r="AG893" s="10" t="s">
        <v>102</v>
      </c>
      <c r="AH893" s="10" t="s">
        <v>102</v>
      </c>
      <c r="AI893" s="10" t="s">
        <v>134</v>
      </c>
      <c r="AJ893" s="10" t="s">
        <v>135</v>
      </c>
      <c r="AK893" s="10"/>
      <c r="AL893" s="10"/>
      <c r="AM893" s="10" t="s">
        <v>136</v>
      </c>
      <c r="AN893" s="10" t="s">
        <v>700</v>
      </c>
      <c r="AO893" s="10"/>
      <c r="AP893" s="10"/>
      <c r="AQ893" s="10"/>
      <c r="AR893" s="10"/>
      <c r="AS893" s="10"/>
      <c r="AT893" s="10"/>
      <c r="AU893" s="10">
        <f>(0.08+0.2)/2</f>
        <v>0.14000000000000001</v>
      </c>
      <c r="AV893" s="10"/>
      <c r="AW893" s="10" t="s">
        <v>108</v>
      </c>
      <c r="AX893" s="10">
        <v>29</v>
      </c>
      <c r="AY893" s="10" t="s">
        <v>103</v>
      </c>
      <c r="AZ893" s="10" t="s">
        <v>109</v>
      </c>
      <c r="BA893" s="10" t="s">
        <v>180</v>
      </c>
      <c r="BB893" s="10">
        <v>20</v>
      </c>
      <c r="BC893" s="10">
        <v>23</v>
      </c>
      <c r="BD893" s="10">
        <v>1</v>
      </c>
      <c r="BE893" s="10" t="s">
        <v>111</v>
      </c>
      <c r="BF893" s="10">
        <v>28</v>
      </c>
      <c r="BG893" s="10">
        <v>1</v>
      </c>
      <c r="BH893" s="10"/>
      <c r="BI893" s="10"/>
      <c r="BJ893" s="10"/>
      <c r="BK893" s="10"/>
      <c r="BL893" s="10"/>
      <c r="BM893" s="10"/>
      <c r="BN893" s="10"/>
      <c r="BO893" s="10"/>
      <c r="BP893" s="10">
        <v>12</v>
      </c>
      <c r="BQ893" s="10"/>
      <c r="BR893" s="10" t="s">
        <v>449</v>
      </c>
      <c r="BS893" s="10" t="s">
        <v>768</v>
      </c>
      <c r="BT893" s="10"/>
      <c r="BU893" s="10" t="s">
        <v>1904</v>
      </c>
      <c r="BV893">
        <v>36.6</v>
      </c>
      <c r="BW893">
        <v>0.39520238200000002</v>
      </c>
      <c r="BX893">
        <v>60</v>
      </c>
      <c r="BY893">
        <v>38.299999999999997</v>
      </c>
      <c r="BZ893">
        <v>0.79040476500000001</v>
      </c>
      <c r="CA893">
        <v>60</v>
      </c>
      <c r="CB893" t="s">
        <v>113</v>
      </c>
      <c r="CC893" t="s">
        <v>1905</v>
      </c>
    </row>
    <row r="894" spans="1:81" x14ac:dyDescent="0.25">
      <c r="A894" s="10" t="s">
        <v>1778</v>
      </c>
      <c r="B894">
        <v>893</v>
      </c>
      <c r="C894" s="10">
        <v>29</v>
      </c>
      <c r="D894" s="10">
        <v>29</v>
      </c>
      <c r="E894" s="10">
        <v>193</v>
      </c>
      <c r="F894" s="10">
        <v>208</v>
      </c>
      <c r="G894" s="10">
        <v>507</v>
      </c>
      <c r="H894" s="10">
        <v>781</v>
      </c>
      <c r="I894" s="10" t="s">
        <v>322</v>
      </c>
      <c r="J894" s="10" t="s">
        <v>691</v>
      </c>
      <c r="K894" s="10"/>
      <c r="L894" s="10"/>
      <c r="M894" s="10" t="s">
        <v>85</v>
      </c>
      <c r="N894" s="10"/>
      <c r="O894" s="10" t="s">
        <v>14</v>
      </c>
      <c r="P894" s="10" t="s">
        <v>1896</v>
      </c>
      <c r="Q894" s="10" t="s">
        <v>1897</v>
      </c>
      <c r="R894" s="10">
        <v>1998</v>
      </c>
      <c r="S894" s="10" t="s">
        <v>146</v>
      </c>
      <c r="T894" s="10"/>
      <c r="U894" s="10" t="s">
        <v>1898</v>
      </c>
      <c r="V894" s="10" t="s">
        <v>1899</v>
      </c>
      <c r="W894" s="10" t="s">
        <v>170</v>
      </c>
      <c r="X894" s="10" t="s">
        <v>965</v>
      </c>
      <c r="Y894" s="10" t="s">
        <v>966</v>
      </c>
      <c r="Z894" s="10" t="s">
        <v>1900</v>
      </c>
      <c r="AA894" s="10" t="s">
        <v>1901</v>
      </c>
      <c r="AB894" s="10" t="s">
        <v>1902</v>
      </c>
      <c r="AC894" s="10" t="s">
        <v>1903</v>
      </c>
      <c r="AD894" s="10" t="s">
        <v>132</v>
      </c>
      <c r="AE894" s="10" t="s">
        <v>316</v>
      </c>
      <c r="AF894" s="10" t="s">
        <v>260</v>
      </c>
      <c r="AG894" s="10" t="s">
        <v>102</v>
      </c>
      <c r="AH894" s="10" t="s">
        <v>102</v>
      </c>
      <c r="AI894" s="10" t="s">
        <v>134</v>
      </c>
      <c r="AJ894" s="10" t="s">
        <v>135</v>
      </c>
      <c r="AK894" s="10"/>
      <c r="AL894" s="10"/>
      <c r="AM894" s="10" t="s">
        <v>136</v>
      </c>
      <c r="AN894" s="10" t="s">
        <v>700</v>
      </c>
      <c r="AO894" s="10"/>
      <c r="AP894" s="10"/>
      <c r="AQ894" s="10"/>
      <c r="AR894" s="10"/>
      <c r="AS894" s="10"/>
      <c r="AT894" s="10"/>
      <c r="AU894" s="10">
        <f>(0.08+0.2)/2</f>
        <v>0.14000000000000001</v>
      </c>
      <c r="AV894" s="10"/>
      <c r="AW894" s="10" t="s">
        <v>108</v>
      </c>
      <c r="AX894" s="10">
        <v>29</v>
      </c>
      <c r="AY894" s="10" t="s">
        <v>103</v>
      </c>
      <c r="AZ894" s="10" t="s">
        <v>109</v>
      </c>
      <c r="BA894" s="10" t="s">
        <v>180</v>
      </c>
      <c r="BB894" s="10">
        <v>23</v>
      </c>
      <c r="BC894" s="10">
        <v>26</v>
      </c>
      <c r="BD894" s="10">
        <v>1</v>
      </c>
      <c r="BE894" s="10" t="s">
        <v>111</v>
      </c>
      <c r="BF894" s="10">
        <v>28</v>
      </c>
      <c r="BG894" s="10">
        <v>1</v>
      </c>
      <c r="BH894" s="10"/>
      <c r="BI894" s="10"/>
      <c r="BJ894" s="10"/>
      <c r="BK894" s="10"/>
      <c r="BL894" s="10"/>
      <c r="BM894" s="10"/>
      <c r="BN894" s="10"/>
      <c r="BO894" s="10"/>
      <c r="BP894" s="10">
        <v>12</v>
      </c>
      <c r="BQ894" s="10"/>
      <c r="BR894" s="10" t="s">
        <v>449</v>
      </c>
      <c r="BS894" s="10" t="s">
        <v>768</v>
      </c>
      <c r="BT894" s="10"/>
      <c r="BU894" s="10" t="s">
        <v>1904</v>
      </c>
      <c r="BV894">
        <v>38.299999999999997</v>
      </c>
      <c r="BW894">
        <v>0.79040476500000001</v>
      </c>
      <c r="BX894">
        <v>60</v>
      </c>
      <c r="BY894">
        <v>39</v>
      </c>
      <c r="BZ894">
        <v>1.185607147</v>
      </c>
      <c r="CA894">
        <v>60</v>
      </c>
      <c r="CB894" t="s">
        <v>113</v>
      </c>
      <c r="CC894" t="s">
        <v>1905</v>
      </c>
    </row>
    <row r="895" spans="1:81" x14ac:dyDescent="0.25">
      <c r="A895" s="10" t="s">
        <v>1778</v>
      </c>
      <c r="B895">
        <v>894</v>
      </c>
      <c r="C895" s="10">
        <v>29</v>
      </c>
      <c r="D895" s="10">
        <v>29</v>
      </c>
      <c r="E895" s="10">
        <v>193</v>
      </c>
      <c r="F895" s="10">
        <v>208</v>
      </c>
      <c r="G895" s="10">
        <v>507</v>
      </c>
      <c r="H895" s="10">
        <v>782</v>
      </c>
      <c r="I895" s="10" t="s">
        <v>322</v>
      </c>
      <c r="J895" s="10" t="s">
        <v>691</v>
      </c>
      <c r="K895" s="10"/>
      <c r="L895" s="10"/>
      <c r="M895" s="10" t="s">
        <v>85</v>
      </c>
      <c r="N895" s="10"/>
      <c r="O895" s="10" t="s">
        <v>14</v>
      </c>
      <c r="P895" s="10" t="s">
        <v>1896</v>
      </c>
      <c r="Q895" s="10" t="s">
        <v>1897</v>
      </c>
      <c r="R895" s="10">
        <v>1998</v>
      </c>
      <c r="S895" s="10" t="s">
        <v>146</v>
      </c>
      <c r="T895" s="10"/>
      <c r="U895" s="10" t="s">
        <v>1898</v>
      </c>
      <c r="V895" s="10" t="s">
        <v>1899</v>
      </c>
      <c r="W895" s="10" t="s">
        <v>170</v>
      </c>
      <c r="X895" s="10" t="s">
        <v>965</v>
      </c>
      <c r="Y895" s="10" t="s">
        <v>966</v>
      </c>
      <c r="Z895" s="10" t="s">
        <v>1900</v>
      </c>
      <c r="AA895" s="10" t="s">
        <v>1901</v>
      </c>
      <c r="AB895" s="10" t="s">
        <v>1902</v>
      </c>
      <c r="AC895" s="10" t="s">
        <v>1903</v>
      </c>
      <c r="AD895" s="10" t="s">
        <v>132</v>
      </c>
      <c r="AE895" s="10" t="s">
        <v>316</v>
      </c>
      <c r="AF895" s="10" t="s">
        <v>260</v>
      </c>
      <c r="AG895" s="10" t="s">
        <v>102</v>
      </c>
      <c r="AH895" s="10" t="s">
        <v>102</v>
      </c>
      <c r="AI895" s="10" t="s">
        <v>134</v>
      </c>
      <c r="AJ895" s="10" t="s">
        <v>135</v>
      </c>
      <c r="AK895" s="10"/>
      <c r="AL895" s="10"/>
      <c r="AM895" s="10" t="s">
        <v>136</v>
      </c>
      <c r="AN895" s="10" t="s">
        <v>700</v>
      </c>
      <c r="AO895" s="10"/>
      <c r="AP895" s="10"/>
      <c r="AQ895" s="10"/>
      <c r="AR895" s="10"/>
      <c r="AS895" s="10"/>
      <c r="AT895" s="10"/>
      <c r="AU895" s="10">
        <f>(0.08+0.2)/2</f>
        <v>0.14000000000000001</v>
      </c>
      <c r="AV895" s="10"/>
      <c r="AW895" s="10" t="s">
        <v>108</v>
      </c>
      <c r="AX895" s="10">
        <v>29</v>
      </c>
      <c r="AY895" s="10" t="s">
        <v>134</v>
      </c>
      <c r="AZ895" s="10" t="s">
        <v>109</v>
      </c>
      <c r="BA895" s="10" t="s">
        <v>180</v>
      </c>
      <c r="BB895" s="10">
        <v>26</v>
      </c>
      <c r="BC895" s="10">
        <v>29</v>
      </c>
      <c r="BD895" s="10">
        <v>1</v>
      </c>
      <c r="BE895" s="10" t="s">
        <v>111</v>
      </c>
      <c r="BF895" s="10">
        <v>28</v>
      </c>
      <c r="BG895" s="10">
        <v>1</v>
      </c>
      <c r="BH895" s="10"/>
      <c r="BI895" s="10"/>
      <c r="BJ895" s="10"/>
      <c r="BK895" s="10"/>
      <c r="BL895" s="10"/>
      <c r="BM895" s="10"/>
      <c r="BN895" s="10"/>
      <c r="BO895" s="10"/>
      <c r="BP895" s="10">
        <v>12</v>
      </c>
      <c r="BQ895" s="10"/>
      <c r="BR895" s="10" t="s">
        <v>449</v>
      </c>
      <c r="BS895" s="10" t="s">
        <v>1906</v>
      </c>
      <c r="BT895" s="10"/>
      <c r="BU895" s="10" t="s">
        <v>1907</v>
      </c>
      <c r="BV895">
        <v>39</v>
      </c>
      <c r="BW895">
        <v>1.185607147</v>
      </c>
      <c r="BX895">
        <v>60</v>
      </c>
      <c r="BY895">
        <v>41</v>
      </c>
      <c r="BZ895">
        <v>1.185607147</v>
      </c>
      <c r="CA895">
        <v>60</v>
      </c>
      <c r="CB895" t="s">
        <v>113</v>
      </c>
      <c r="CC895" t="s">
        <v>1905</v>
      </c>
    </row>
    <row r="896" spans="1:81" x14ac:dyDescent="0.25">
      <c r="A896" s="10" t="s">
        <v>1778</v>
      </c>
      <c r="B896">
        <v>895</v>
      </c>
      <c r="C896" s="10">
        <v>29</v>
      </c>
      <c r="D896" s="10">
        <v>29</v>
      </c>
      <c r="E896" s="10">
        <v>193</v>
      </c>
      <c r="F896" s="10">
        <v>208</v>
      </c>
      <c r="G896" s="10">
        <v>507</v>
      </c>
      <c r="H896" s="10">
        <v>783</v>
      </c>
      <c r="I896" s="10" t="s">
        <v>322</v>
      </c>
      <c r="J896" s="10" t="s">
        <v>691</v>
      </c>
      <c r="K896" s="10"/>
      <c r="L896" s="10"/>
      <c r="M896" s="10" t="s">
        <v>85</v>
      </c>
      <c r="N896" s="10"/>
      <c r="O896" s="10" t="s">
        <v>14</v>
      </c>
      <c r="P896" s="10" t="s">
        <v>1896</v>
      </c>
      <c r="Q896" s="10" t="s">
        <v>1897</v>
      </c>
      <c r="R896" s="10">
        <v>1998</v>
      </c>
      <c r="S896" s="10" t="s">
        <v>146</v>
      </c>
      <c r="T896" s="10"/>
      <c r="U896" s="10" t="s">
        <v>1898</v>
      </c>
      <c r="V896" s="10" t="s">
        <v>1899</v>
      </c>
      <c r="W896" s="10" t="s">
        <v>170</v>
      </c>
      <c r="X896" s="10" t="s">
        <v>965</v>
      </c>
      <c r="Y896" s="10" t="s">
        <v>966</v>
      </c>
      <c r="Z896" s="10" t="s">
        <v>1900</v>
      </c>
      <c r="AA896" s="10" t="s">
        <v>1901</v>
      </c>
      <c r="AB896" s="10" t="s">
        <v>1902</v>
      </c>
      <c r="AC896" s="10" t="s">
        <v>1903</v>
      </c>
      <c r="AD896" s="10" t="s">
        <v>132</v>
      </c>
      <c r="AE896" s="10" t="s">
        <v>316</v>
      </c>
      <c r="AF896" s="10" t="s">
        <v>260</v>
      </c>
      <c r="AG896" s="10" t="s">
        <v>102</v>
      </c>
      <c r="AH896" s="10" t="s">
        <v>102</v>
      </c>
      <c r="AI896" s="10" t="s">
        <v>134</v>
      </c>
      <c r="AJ896" s="10" t="s">
        <v>135</v>
      </c>
      <c r="AK896" s="10"/>
      <c r="AL896" s="10"/>
      <c r="AM896" s="10" t="s">
        <v>136</v>
      </c>
      <c r="AN896" s="10" t="s">
        <v>700</v>
      </c>
      <c r="AO896" s="10"/>
      <c r="AP896" s="10"/>
      <c r="AQ896" s="10"/>
      <c r="AR896" s="10"/>
      <c r="AS896" s="10"/>
      <c r="AT896" s="10"/>
      <c r="AU896" s="10">
        <f>(0.08+0.2)/2</f>
        <v>0.14000000000000001</v>
      </c>
      <c r="AV896" s="10"/>
      <c r="AW896" s="10" t="s">
        <v>108</v>
      </c>
      <c r="AX896" s="10">
        <v>29</v>
      </c>
      <c r="AY896" s="10" t="s">
        <v>134</v>
      </c>
      <c r="AZ896" s="10" t="s">
        <v>109</v>
      </c>
      <c r="BA896" s="10" t="s">
        <v>180</v>
      </c>
      <c r="BB896" s="10">
        <v>29</v>
      </c>
      <c r="BC896" s="10">
        <v>32</v>
      </c>
      <c r="BD896" s="10">
        <v>1</v>
      </c>
      <c r="BE896" s="10" t="s">
        <v>111</v>
      </c>
      <c r="BF896" s="10">
        <v>28</v>
      </c>
      <c r="BG896" s="10">
        <v>1</v>
      </c>
      <c r="BH896" s="10"/>
      <c r="BI896" s="10"/>
      <c r="BJ896" s="10"/>
      <c r="BK896" s="10"/>
      <c r="BL896" s="10"/>
      <c r="BM896" s="10"/>
      <c r="BN896" s="10"/>
      <c r="BO896" s="10"/>
      <c r="BP896" s="10">
        <v>12</v>
      </c>
      <c r="BQ896" s="10"/>
      <c r="BR896" s="10" t="s">
        <v>449</v>
      </c>
      <c r="BS896" s="10" t="s">
        <v>1906</v>
      </c>
      <c r="BT896" s="10"/>
      <c r="BU896" s="10" t="s">
        <v>1907</v>
      </c>
      <c r="BV896">
        <v>41</v>
      </c>
      <c r="BW896">
        <v>1.185607147</v>
      </c>
      <c r="BX896">
        <v>60</v>
      </c>
      <c r="BY896">
        <v>41.6</v>
      </c>
      <c r="BZ896">
        <v>1.185607147</v>
      </c>
      <c r="CA896">
        <v>60</v>
      </c>
      <c r="CB896" t="s">
        <v>113</v>
      </c>
      <c r="CC896" t="s">
        <v>1905</v>
      </c>
    </row>
    <row r="897" spans="1:81" x14ac:dyDescent="0.25">
      <c r="A897" s="10" t="s">
        <v>1778</v>
      </c>
      <c r="B897">
        <v>896</v>
      </c>
      <c r="C897" s="10">
        <v>29</v>
      </c>
      <c r="D897" s="10">
        <v>29</v>
      </c>
      <c r="E897" s="10">
        <v>193</v>
      </c>
      <c r="F897" s="10">
        <v>208</v>
      </c>
      <c r="G897" s="10">
        <v>508</v>
      </c>
      <c r="H897" s="10">
        <v>784</v>
      </c>
      <c r="I897" s="10" t="s">
        <v>322</v>
      </c>
      <c r="J897" s="10" t="s">
        <v>691</v>
      </c>
      <c r="K897" s="10"/>
      <c r="L897" s="10"/>
      <c r="M897" s="10" t="s">
        <v>85</v>
      </c>
      <c r="N897" s="10"/>
      <c r="O897" s="10" t="s">
        <v>14</v>
      </c>
      <c r="P897" s="10" t="s">
        <v>1896</v>
      </c>
      <c r="Q897" s="10" t="s">
        <v>1897</v>
      </c>
      <c r="R897" s="10">
        <v>1998</v>
      </c>
      <c r="S897" s="10" t="s">
        <v>146</v>
      </c>
      <c r="T897" s="10"/>
      <c r="U897" s="10" t="s">
        <v>1898</v>
      </c>
      <c r="V897" s="10" t="s">
        <v>1899</v>
      </c>
      <c r="W897" s="10" t="s">
        <v>170</v>
      </c>
      <c r="X897" s="10" t="s">
        <v>965</v>
      </c>
      <c r="Y897" s="10" t="s">
        <v>966</v>
      </c>
      <c r="Z897" s="10" t="s">
        <v>1900</v>
      </c>
      <c r="AA897" s="10" t="s">
        <v>1901</v>
      </c>
      <c r="AB897" s="10" t="s">
        <v>1902</v>
      </c>
      <c r="AC897" s="10" t="s">
        <v>1903</v>
      </c>
      <c r="AD897" s="10" t="s">
        <v>132</v>
      </c>
      <c r="AE897" s="10" t="s">
        <v>316</v>
      </c>
      <c r="AF897" s="10" t="s">
        <v>260</v>
      </c>
      <c r="AG897" s="10" t="s">
        <v>102</v>
      </c>
      <c r="AH897" s="10" t="s">
        <v>102</v>
      </c>
      <c r="AI897" s="10" t="s">
        <v>134</v>
      </c>
      <c r="AJ897" s="10" t="s">
        <v>135</v>
      </c>
      <c r="AK897" s="10"/>
      <c r="AL897" s="10"/>
      <c r="AM897" s="10" t="s">
        <v>136</v>
      </c>
      <c r="AN897" s="10" t="s">
        <v>700</v>
      </c>
      <c r="AO897" s="10"/>
      <c r="AP897" s="10"/>
      <c r="AQ897" s="10"/>
      <c r="AR897" s="10"/>
      <c r="AS897" s="10"/>
      <c r="AT897" s="10"/>
      <c r="AU897" s="10">
        <f>(0.6+1.7)/2</f>
        <v>1.1499999999999999</v>
      </c>
      <c r="AV897" s="10"/>
      <c r="AW897" s="10" t="s">
        <v>108</v>
      </c>
      <c r="AX897" s="10">
        <v>29</v>
      </c>
      <c r="AY897" s="10" t="s">
        <v>103</v>
      </c>
      <c r="AZ897" s="10" t="s">
        <v>109</v>
      </c>
      <c r="BA897" s="10" t="s">
        <v>180</v>
      </c>
      <c r="BB897" s="10">
        <v>20</v>
      </c>
      <c r="BC897" s="10">
        <v>23</v>
      </c>
      <c r="BD897" s="10">
        <v>1</v>
      </c>
      <c r="BE897" s="10" t="s">
        <v>111</v>
      </c>
      <c r="BF897" s="10">
        <v>28</v>
      </c>
      <c r="BG897" s="10">
        <v>1</v>
      </c>
      <c r="BH897" s="10"/>
      <c r="BI897" s="10"/>
      <c r="BJ897" s="10"/>
      <c r="BK897" s="10"/>
      <c r="BL897" s="10"/>
      <c r="BM897" s="10"/>
      <c r="BN897" s="10"/>
      <c r="BO897" s="10"/>
      <c r="BP897" s="10">
        <v>12</v>
      </c>
      <c r="BQ897" s="10"/>
      <c r="BR897" s="10" t="s">
        <v>449</v>
      </c>
      <c r="BS897" s="10" t="s">
        <v>768</v>
      </c>
      <c r="BT897" s="10"/>
      <c r="BU897" s="10" t="s">
        <v>1908</v>
      </c>
      <c r="BV897">
        <v>36.5</v>
      </c>
      <c r="BW897">
        <v>4.3472262050000001</v>
      </c>
      <c r="BX897">
        <v>60</v>
      </c>
      <c r="BY897">
        <v>38.4</v>
      </c>
      <c r="BZ897">
        <v>0.39520238200000002</v>
      </c>
      <c r="CA897">
        <v>60</v>
      </c>
      <c r="CB897" t="s">
        <v>113</v>
      </c>
      <c r="CC897" t="s">
        <v>1905</v>
      </c>
    </row>
    <row r="898" spans="1:81" x14ac:dyDescent="0.25">
      <c r="A898" s="10" t="s">
        <v>1778</v>
      </c>
      <c r="B898">
        <v>897</v>
      </c>
      <c r="C898" s="10">
        <v>29</v>
      </c>
      <c r="D898" s="10">
        <v>29</v>
      </c>
      <c r="E898" s="10">
        <v>193</v>
      </c>
      <c r="F898" s="10">
        <v>208</v>
      </c>
      <c r="G898" s="10">
        <v>508</v>
      </c>
      <c r="H898" s="10">
        <v>785</v>
      </c>
      <c r="I898" s="10" t="s">
        <v>322</v>
      </c>
      <c r="J898" s="10" t="s">
        <v>691</v>
      </c>
      <c r="K898" s="10"/>
      <c r="L898" s="10"/>
      <c r="M898" s="10" t="s">
        <v>85</v>
      </c>
      <c r="N898" s="10"/>
      <c r="O898" s="10" t="s">
        <v>14</v>
      </c>
      <c r="P898" s="10" t="s">
        <v>1896</v>
      </c>
      <c r="Q898" s="10" t="s">
        <v>1897</v>
      </c>
      <c r="R898" s="10">
        <v>1998</v>
      </c>
      <c r="S898" s="10" t="s">
        <v>146</v>
      </c>
      <c r="T898" s="10"/>
      <c r="U898" s="10" t="s">
        <v>1898</v>
      </c>
      <c r="V898" s="10" t="s">
        <v>1899</v>
      </c>
      <c r="W898" s="10" t="s">
        <v>170</v>
      </c>
      <c r="X898" s="10" t="s">
        <v>965</v>
      </c>
      <c r="Y898" s="10" t="s">
        <v>966</v>
      </c>
      <c r="Z898" s="10" t="s">
        <v>1900</v>
      </c>
      <c r="AA898" s="10" t="s">
        <v>1901</v>
      </c>
      <c r="AB898" s="10" t="s">
        <v>1902</v>
      </c>
      <c r="AC898" s="10" t="s">
        <v>1903</v>
      </c>
      <c r="AD898" s="10" t="s">
        <v>132</v>
      </c>
      <c r="AE898" s="10" t="s">
        <v>316</v>
      </c>
      <c r="AF898" s="10" t="s">
        <v>260</v>
      </c>
      <c r="AG898" s="10" t="s">
        <v>102</v>
      </c>
      <c r="AH898" s="10" t="s">
        <v>102</v>
      </c>
      <c r="AI898" s="10" t="s">
        <v>134</v>
      </c>
      <c r="AJ898" s="10" t="s">
        <v>135</v>
      </c>
      <c r="AK898" s="10"/>
      <c r="AL898" s="10"/>
      <c r="AM898" s="10" t="s">
        <v>136</v>
      </c>
      <c r="AN898" s="10" t="s">
        <v>700</v>
      </c>
      <c r="AO898" s="10"/>
      <c r="AP898" s="10"/>
      <c r="AQ898" s="10"/>
      <c r="AR898" s="10"/>
      <c r="AS898" s="10"/>
      <c r="AT898" s="10"/>
      <c r="AU898" s="10">
        <f>(0.6+1.7)/2</f>
        <v>1.1499999999999999</v>
      </c>
      <c r="AV898" s="10"/>
      <c r="AW898" s="10" t="s">
        <v>108</v>
      </c>
      <c r="AX898" s="10">
        <v>29</v>
      </c>
      <c r="AY898" s="10" t="s">
        <v>103</v>
      </c>
      <c r="AZ898" s="10" t="s">
        <v>109</v>
      </c>
      <c r="BA898" s="10" t="s">
        <v>180</v>
      </c>
      <c r="BB898" s="10">
        <v>23</v>
      </c>
      <c r="BC898" s="10">
        <v>26</v>
      </c>
      <c r="BD898" s="10">
        <v>1</v>
      </c>
      <c r="BE898" s="10" t="s">
        <v>111</v>
      </c>
      <c r="BF898" s="10">
        <v>28</v>
      </c>
      <c r="BG898" s="10">
        <v>1</v>
      </c>
      <c r="BH898" s="10"/>
      <c r="BI898" s="10"/>
      <c r="BJ898" s="10"/>
      <c r="BK898" s="10"/>
      <c r="BL898" s="10"/>
      <c r="BM898" s="10"/>
      <c r="BN898" s="10"/>
      <c r="BO898" s="10"/>
      <c r="BP898" s="10">
        <v>12</v>
      </c>
      <c r="BQ898" s="10"/>
      <c r="BR898" s="10" t="s">
        <v>449</v>
      </c>
      <c r="BS898" s="10" t="s">
        <v>768</v>
      </c>
      <c r="BT898" s="10"/>
      <c r="BU898" s="10" t="s">
        <v>1908</v>
      </c>
      <c r="BV898">
        <v>38.4</v>
      </c>
      <c r="BW898">
        <v>0.39520238200000002</v>
      </c>
      <c r="BX898">
        <v>60</v>
      </c>
      <c r="BY898">
        <v>39.200000000000003</v>
      </c>
      <c r="BZ898">
        <v>3.1616190579999999</v>
      </c>
      <c r="CA898">
        <v>60</v>
      </c>
      <c r="CB898" t="s">
        <v>113</v>
      </c>
      <c r="CC898" t="s">
        <v>1905</v>
      </c>
    </row>
    <row r="899" spans="1:81" x14ac:dyDescent="0.25">
      <c r="A899" s="10" t="s">
        <v>1778</v>
      </c>
      <c r="B899">
        <v>898</v>
      </c>
      <c r="C899" s="10">
        <v>29</v>
      </c>
      <c r="D899" s="10">
        <v>29</v>
      </c>
      <c r="E899" s="10">
        <v>193</v>
      </c>
      <c r="F899" s="10">
        <v>208</v>
      </c>
      <c r="G899" s="10">
        <v>508</v>
      </c>
      <c r="H899" s="10">
        <v>786</v>
      </c>
      <c r="I899" s="10" t="s">
        <v>322</v>
      </c>
      <c r="J899" s="10" t="s">
        <v>691</v>
      </c>
      <c r="K899" s="10"/>
      <c r="L899" s="10"/>
      <c r="M899" s="10" t="s">
        <v>85</v>
      </c>
      <c r="N899" s="10"/>
      <c r="O899" s="10" t="s">
        <v>14</v>
      </c>
      <c r="P899" s="10" t="s">
        <v>1896</v>
      </c>
      <c r="Q899" s="10" t="s">
        <v>1897</v>
      </c>
      <c r="R899" s="10">
        <v>1998</v>
      </c>
      <c r="S899" s="10" t="s">
        <v>146</v>
      </c>
      <c r="T899" s="10"/>
      <c r="U899" s="10" t="s">
        <v>1898</v>
      </c>
      <c r="V899" s="10" t="s">
        <v>1899</v>
      </c>
      <c r="W899" s="10" t="s">
        <v>170</v>
      </c>
      <c r="X899" s="10" t="s">
        <v>965</v>
      </c>
      <c r="Y899" s="10" t="s">
        <v>966</v>
      </c>
      <c r="Z899" s="10" t="s">
        <v>1900</v>
      </c>
      <c r="AA899" s="10" t="s">
        <v>1901</v>
      </c>
      <c r="AB899" s="10" t="s">
        <v>1902</v>
      </c>
      <c r="AC899" s="10" t="s">
        <v>1903</v>
      </c>
      <c r="AD899" s="10" t="s">
        <v>132</v>
      </c>
      <c r="AE899" s="10" t="s">
        <v>316</v>
      </c>
      <c r="AF899" s="10" t="s">
        <v>260</v>
      </c>
      <c r="AG899" s="10" t="s">
        <v>102</v>
      </c>
      <c r="AH899" s="10" t="s">
        <v>102</v>
      </c>
      <c r="AI899" s="10" t="s">
        <v>134</v>
      </c>
      <c r="AJ899" s="10" t="s">
        <v>135</v>
      </c>
      <c r="AK899" s="10"/>
      <c r="AL899" s="10"/>
      <c r="AM899" s="10" t="s">
        <v>136</v>
      </c>
      <c r="AN899" s="10" t="s">
        <v>700</v>
      </c>
      <c r="AO899" s="10"/>
      <c r="AP899" s="10"/>
      <c r="AQ899" s="10"/>
      <c r="AR899" s="10"/>
      <c r="AS899" s="10"/>
      <c r="AT899" s="10"/>
      <c r="AU899" s="10">
        <f>(0.6+1.7)/2</f>
        <v>1.1499999999999999</v>
      </c>
      <c r="AV899" s="10"/>
      <c r="AW899" s="10" t="s">
        <v>108</v>
      </c>
      <c r="AX899" s="10">
        <v>29</v>
      </c>
      <c r="AY899" s="10" t="s">
        <v>134</v>
      </c>
      <c r="AZ899" s="10" t="s">
        <v>109</v>
      </c>
      <c r="BA899" s="10" t="s">
        <v>180</v>
      </c>
      <c r="BB899" s="10">
        <v>26</v>
      </c>
      <c r="BC899" s="10">
        <v>29</v>
      </c>
      <c r="BD899" s="10">
        <v>1</v>
      </c>
      <c r="BE899" s="10" t="s">
        <v>111</v>
      </c>
      <c r="BF899" s="10">
        <v>28</v>
      </c>
      <c r="BG899" s="10">
        <v>1</v>
      </c>
      <c r="BH899" s="10"/>
      <c r="BI899" s="10"/>
      <c r="BJ899" s="10"/>
      <c r="BK899" s="10"/>
      <c r="BL899" s="10"/>
      <c r="BM899" s="10"/>
      <c r="BN899" s="10"/>
      <c r="BO899" s="10"/>
      <c r="BP899" s="10">
        <v>12</v>
      </c>
      <c r="BQ899" s="10"/>
      <c r="BR899" s="10" t="s">
        <v>449</v>
      </c>
      <c r="BS899" s="10" t="s">
        <v>515</v>
      </c>
      <c r="BT899" s="10"/>
      <c r="BU899" s="10" t="s">
        <v>1909</v>
      </c>
      <c r="BV899">
        <v>39.200000000000003</v>
      </c>
      <c r="BW899">
        <v>3.1616190579999999</v>
      </c>
      <c r="BX899">
        <v>60</v>
      </c>
      <c r="BY899">
        <v>41.5</v>
      </c>
      <c r="BZ899">
        <v>3.9520238230000002</v>
      </c>
      <c r="CA899">
        <v>60</v>
      </c>
      <c r="CB899" t="s">
        <v>113</v>
      </c>
      <c r="CC899" t="s">
        <v>1905</v>
      </c>
    </row>
    <row r="900" spans="1:81" x14ac:dyDescent="0.25">
      <c r="A900" s="10" t="s">
        <v>1778</v>
      </c>
      <c r="B900">
        <v>899</v>
      </c>
      <c r="C900" s="10">
        <v>29</v>
      </c>
      <c r="D900" s="10">
        <v>29</v>
      </c>
      <c r="E900" s="10">
        <v>193</v>
      </c>
      <c r="F900" s="10">
        <v>208</v>
      </c>
      <c r="G900" s="10">
        <v>508</v>
      </c>
      <c r="H900" s="10">
        <v>787</v>
      </c>
      <c r="I900" s="10" t="s">
        <v>322</v>
      </c>
      <c r="J900" s="10" t="s">
        <v>691</v>
      </c>
      <c r="K900" s="10"/>
      <c r="L900" s="10"/>
      <c r="M900" s="10" t="s">
        <v>85</v>
      </c>
      <c r="N900" s="10"/>
      <c r="O900" s="10" t="s">
        <v>14</v>
      </c>
      <c r="P900" s="10" t="s">
        <v>1896</v>
      </c>
      <c r="Q900" s="10" t="s">
        <v>1897</v>
      </c>
      <c r="R900" s="10">
        <v>1998</v>
      </c>
      <c r="S900" s="10" t="s">
        <v>146</v>
      </c>
      <c r="T900" s="10"/>
      <c r="U900" s="10" t="s">
        <v>1898</v>
      </c>
      <c r="V900" s="10" t="s">
        <v>1899</v>
      </c>
      <c r="W900" s="10" t="s">
        <v>170</v>
      </c>
      <c r="X900" s="10" t="s">
        <v>965</v>
      </c>
      <c r="Y900" s="10" t="s">
        <v>966</v>
      </c>
      <c r="Z900" s="10" t="s">
        <v>1900</v>
      </c>
      <c r="AA900" s="10" t="s">
        <v>1901</v>
      </c>
      <c r="AB900" s="10" t="s">
        <v>1902</v>
      </c>
      <c r="AC900" s="10" t="s">
        <v>1903</v>
      </c>
      <c r="AD900" s="10" t="s">
        <v>132</v>
      </c>
      <c r="AE900" s="10" t="s">
        <v>316</v>
      </c>
      <c r="AF900" s="10" t="s">
        <v>260</v>
      </c>
      <c r="AG900" s="10" t="s">
        <v>102</v>
      </c>
      <c r="AH900" s="10" t="s">
        <v>102</v>
      </c>
      <c r="AI900" s="10" t="s">
        <v>134</v>
      </c>
      <c r="AJ900" s="10" t="s">
        <v>135</v>
      </c>
      <c r="AK900" s="10"/>
      <c r="AL900" s="10"/>
      <c r="AM900" s="10" t="s">
        <v>136</v>
      </c>
      <c r="AN900" s="10" t="s">
        <v>700</v>
      </c>
      <c r="AO900" s="10"/>
      <c r="AP900" s="10"/>
      <c r="AQ900" s="10"/>
      <c r="AR900" s="10"/>
      <c r="AS900" s="10"/>
      <c r="AT900" s="10"/>
      <c r="AU900" s="10">
        <f>(0.6+1.7)/2</f>
        <v>1.1499999999999999</v>
      </c>
      <c r="AV900" s="10"/>
      <c r="AW900" s="10" t="s">
        <v>108</v>
      </c>
      <c r="AX900" s="10">
        <v>29</v>
      </c>
      <c r="AY900" s="10" t="s">
        <v>134</v>
      </c>
      <c r="AZ900" s="10" t="s">
        <v>109</v>
      </c>
      <c r="BA900" s="10" t="s">
        <v>180</v>
      </c>
      <c r="BB900" s="10">
        <v>29</v>
      </c>
      <c r="BC900" s="10">
        <v>32</v>
      </c>
      <c r="BD900" s="10">
        <v>1</v>
      </c>
      <c r="BE900" s="10" t="s">
        <v>111</v>
      </c>
      <c r="BF900" s="10">
        <v>28</v>
      </c>
      <c r="BG900" s="10">
        <v>1</v>
      </c>
      <c r="BH900" s="10"/>
      <c r="BI900" s="10"/>
      <c r="BJ900" s="10"/>
      <c r="BK900" s="10"/>
      <c r="BL900" s="10"/>
      <c r="BM900" s="10"/>
      <c r="BN900" s="10"/>
      <c r="BO900" s="10"/>
      <c r="BP900" s="10">
        <v>12</v>
      </c>
      <c r="BQ900" s="10"/>
      <c r="BR900" s="10" t="s">
        <v>449</v>
      </c>
      <c r="BS900" s="10" t="s">
        <v>515</v>
      </c>
      <c r="BT900" s="10"/>
      <c r="BU900" s="10" t="s">
        <v>1909</v>
      </c>
      <c r="BV900">
        <v>41.5</v>
      </c>
      <c r="BW900">
        <v>3.9520238230000002</v>
      </c>
      <c r="BX900">
        <v>60</v>
      </c>
      <c r="BY900">
        <v>42</v>
      </c>
      <c r="BZ900">
        <v>3.1616190579999999</v>
      </c>
      <c r="CA900">
        <v>60</v>
      </c>
      <c r="CB900" t="s">
        <v>113</v>
      </c>
      <c r="CC900" t="s">
        <v>1905</v>
      </c>
    </row>
    <row r="901" spans="1:81" x14ac:dyDescent="0.25">
      <c r="A901" s="10" t="s">
        <v>1778</v>
      </c>
      <c r="B901">
        <v>900</v>
      </c>
      <c r="C901" s="10">
        <v>26</v>
      </c>
      <c r="D901" s="10">
        <v>25</v>
      </c>
      <c r="E901" s="10">
        <v>194</v>
      </c>
      <c r="F901" s="10">
        <v>209</v>
      </c>
      <c r="G901" s="10">
        <v>509</v>
      </c>
      <c r="H901" s="10">
        <v>788</v>
      </c>
      <c r="I901" s="10" t="s">
        <v>322</v>
      </c>
      <c r="J901" s="10" t="s">
        <v>143</v>
      </c>
      <c r="K901" s="10"/>
      <c r="L901" s="10"/>
      <c r="M901" s="10" t="s">
        <v>85</v>
      </c>
      <c r="N901" s="10"/>
      <c r="O901" s="10" t="s">
        <v>14</v>
      </c>
      <c r="P901" s="10" t="s">
        <v>1910</v>
      </c>
      <c r="Q901" s="10" t="s">
        <v>1911</v>
      </c>
      <c r="R901" s="10">
        <v>2006</v>
      </c>
      <c r="S901" s="10" t="s">
        <v>1503</v>
      </c>
      <c r="T901" s="10"/>
      <c r="U901" s="10" t="s">
        <v>1912</v>
      </c>
      <c r="V901" s="10" t="s">
        <v>1913</v>
      </c>
      <c r="W901" s="10" t="s">
        <v>91</v>
      </c>
      <c r="X901" s="10" t="s">
        <v>126</v>
      </c>
      <c r="Y901" s="10" t="s">
        <v>1914</v>
      </c>
      <c r="Z901" s="10" t="s">
        <v>1915</v>
      </c>
      <c r="AA901" s="10" t="s">
        <v>1916</v>
      </c>
      <c r="AB901" s="10" t="s">
        <v>1917</v>
      </c>
      <c r="AC901" s="10" t="s">
        <v>1918</v>
      </c>
      <c r="AD901" s="10" t="s">
        <v>132</v>
      </c>
      <c r="AE901" s="10" t="s">
        <v>133</v>
      </c>
      <c r="AF901" s="10" t="s">
        <v>100</v>
      </c>
      <c r="AG901" s="10" t="s">
        <v>102</v>
      </c>
      <c r="AH901" s="10" t="s">
        <v>102</v>
      </c>
      <c r="AI901" s="10" t="s">
        <v>134</v>
      </c>
      <c r="AJ901" s="10" t="s">
        <v>135</v>
      </c>
      <c r="AK901" s="10"/>
      <c r="AL901" s="10"/>
      <c r="AM901" s="10" t="s">
        <v>136</v>
      </c>
      <c r="AN901" s="10" t="s">
        <v>1184</v>
      </c>
      <c r="AO901" s="10"/>
      <c r="AP901" s="10"/>
      <c r="AQ901" s="10"/>
      <c r="AR901" s="10"/>
      <c r="AS901" s="10"/>
      <c r="AT901" s="10"/>
      <c r="AU901" s="10">
        <v>22.7</v>
      </c>
      <c r="AV901" s="10"/>
      <c r="AW901" s="10" t="s">
        <v>108</v>
      </c>
      <c r="AX901" s="10">
        <v>28</v>
      </c>
      <c r="AY901" s="10" t="s">
        <v>103</v>
      </c>
      <c r="AZ901" s="10" t="s">
        <v>109</v>
      </c>
      <c r="BA901" s="10" t="s">
        <v>138</v>
      </c>
      <c r="BB901" s="10">
        <v>30</v>
      </c>
      <c r="BC901" s="10">
        <v>34</v>
      </c>
      <c r="BD901" s="10"/>
      <c r="BE901" s="10" t="s">
        <v>139</v>
      </c>
      <c r="BF901" s="10">
        <v>30</v>
      </c>
      <c r="BG901" s="10">
        <v>0.3</v>
      </c>
      <c r="BH901" s="10"/>
      <c r="BI901" s="10"/>
      <c r="BJ901" s="10"/>
      <c r="BK901" s="10"/>
      <c r="BL901" s="10"/>
      <c r="BM901" s="10">
        <v>5.5</v>
      </c>
      <c r="BN901" s="10"/>
      <c r="BO901" s="10"/>
      <c r="BP901" s="10"/>
      <c r="BQ901" s="10"/>
      <c r="BR901" s="10" t="s">
        <v>69</v>
      </c>
      <c r="BS901" s="10" t="s">
        <v>768</v>
      </c>
      <c r="BT901" s="10"/>
      <c r="BU901" s="10" t="s">
        <v>1835</v>
      </c>
      <c r="BV901">
        <v>42.68</v>
      </c>
      <c r="BW901">
        <v>7.3484692000000004E-2</v>
      </c>
      <c r="BX901">
        <v>6</v>
      </c>
      <c r="BY901">
        <v>43.67</v>
      </c>
      <c r="BZ901">
        <v>0.12247448700000001</v>
      </c>
      <c r="CA901">
        <v>6</v>
      </c>
      <c r="CB901" t="s">
        <v>113</v>
      </c>
      <c r="CC901" t="s">
        <v>1919</v>
      </c>
    </row>
    <row r="902" spans="1:81" x14ac:dyDescent="0.25">
      <c r="A902" s="10" t="s">
        <v>1778</v>
      </c>
      <c r="B902">
        <v>901</v>
      </c>
      <c r="C902" s="10">
        <v>26</v>
      </c>
      <c r="D902" s="10">
        <v>25</v>
      </c>
      <c r="E902" s="10">
        <v>194</v>
      </c>
      <c r="F902" s="10">
        <v>209</v>
      </c>
      <c r="G902" s="10">
        <v>509</v>
      </c>
      <c r="H902" s="10">
        <v>789</v>
      </c>
      <c r="I902" s="10" t="s">
        <v>322</v>
      </c>
      <c r="J902" s="10" t="s">
        <v>143</v>
      </c>
      <c r="K902" s="10"/>
      <c r="L902" s="10"/>
      <c r="M902" s="10" t="s">
        <v>85</v>
      </c>
      <c r="N902" s="10"/>
      <c r="O902" s="10" t="s">
        <v>14</v>
      </c>
      <c r="P902" s="10" t="s">
        <v>1910</v>
      </c>
      <c r="Q902" s="10" t="s">
        <v>1911</v>
      </c>
      <c r="R902" s="10">
        <v>2006</v>
      </c>
      <c r="S902" s="10" t="s">
        <v>1503</v>
      </c>
      <c r="T902" s="10"/>
      <c r="U902" s="10" t="s">
        <v>1912</v>
      </c>
      <c r="V902" s="10" t="s">
        <v>1913</v>
      </c>
      <c r="W902" s="10" t="s">
        <v>91</v>
      </c>
      <c r="X902" s="10" t="s">
        <v>126</v>
      </c>
      <c r="Y902" s="10" t="s">
        <v>1914</v>
      </c>
      <c r="Z902" s="10" t="s">
        <v>1915</v>
      </c>
      <c r="AA902" s="10" t="s">
        <v>1916</v>
      </c>
      <c r="AB902" s="10" t="s">
        <v>1917</v>
      </c>
      <c r="AC902" s="10" t="s">
        <v>1918</v>
      </c>
      <c r="AD902" s="10" t="s">
        <v>132</v>
      </c>
      <c r="AE902" s="10" t="s">
        <v>133</v>
      </c>
      <c r="AF902" s="10" t="s">
        <v>100</v>
      </c>
      <c r="AG902" s="10" t="s">
        <v>102</v>
      </c>
      <c r="AH902" s="10" t="s">
        <v>102</v>
      </c>
      <c r="AI902" s="10" t="s">
        <v>134</v>
      </c>
      <c r="AJ902" s="10" t="s">
        <v>135</v>
      </c>
      <c r="AK902" s="10"/>
      <c r="AL902" s="10"/>
      <c r="AM902" s="10" t="s">
        <v>136</v>
      </c>
      <c r="AN902" s="10" t="s">
        <v>1184</v>
      </c>
      <c r="AO902" s="10"/>
      <c r="AP902" s="10"/>
      <c r="AQ902" s="10"/>
      <c r="AR902" s="10"/>
      <c r="AS902" s="10"/>
      <c r="AT902" s="10"/>
      <c r="AU902" s="10">
        <v>22.7</v>
      </c>
      <c r="AV902" s="10"/>
      <c r="AW902" s="10" t="s">
        <v>108</v>
      </c>
      <c r="AX902" s="10">
        <v>28</v>
      </c>
      <c r="AY902" s="10" t="s">
        <v>103</v>
      </c>
      <c r="AZ902" s="10" t="s">
        <v>109</v>
      </c>
      <c r="BA902" s="10" t="s">
        <v>138</v>
      </c>
      <c r="BB902" s="10">
        <v>34</v>
      </c>
      <c r="BC902" s="10">
        <v>38</v>
      </c>
      <c r="BD902" s="10"/>
      <c r="BE902" s="10" t="s">
        <v>139</v>
      </c>
      <c r="BF902" s="10">
        <v>30</v>
      </c>
      <c r="BG902" s="10">
        <v>0.3</v>
      </c>
      <c r="BH902" s="10"/>
      <c r="BI902" s="10"/>
      <c r="BJ902" s="10"/>
      <c r="BK902" s="10"/>
      <c r="BL902" s="10"/>
      <c r="BM902" s="10">
        <v>5.5</v>
      </c>
      <c r="BN902" s="10"/>
      <c r="BO902" s="10"/>
      <c r="BP902" s="10"/>
      <c r="BQ902" s="10"/>
      <c r="BR902" s="10" t="s">
        <v>69</v>
      </c>
      <c r="BS902" s="10" t="s">
        <v>768</v>
      </c>
      <c r="BT902" s="10"/>
      <c r="BU902" s="10" t="s">
        <v>1835</v>
      </c>
      <c r="BV902">
        <v>43.67</v>
      </c>
      <c r="BW902">
        <v>0.12247448700000001</v>
      </c>
      <c r="BX902">
        <v>6</v>
      </c>
      <c r="BY902">
        <v>44.05</v>
      </c>
      <c r="BZ902">
        <v>0.29393876899999999</v>
      </c>
      <c r="CA902">
        <v>6</v>
      </c>
      <c r="CB902" t="s">
        <v>113</v>
      </c>
      <c r="CC902" t="s">
        <v>1919</v>
      </c>
    </row>
    <row r="903" spans="1:81" x14ac:dyDescent="0.25">
      <c r="A903" s="10" t="s">
        <v>1778</v>
      </c>
      <c r="B903">
        <v>902</v>
      </c>
      <c r="C903" s="10">
        <v>26</v>
      </c>
      <c r="D903" s="10">
        <v>25</v>
      </c>
      <c r="E903" s="10">
        <v>194</v>
      </c>
      <c r="F903" s="10">
        <v>209</v>
      </c>
      <c r="G903" s="10">
        <v>510</v>
      </c>
      <c r="H903" s="10">
        <v>790</v>
      </c>
      <c r="I903" s="10" t="s">
        <v>322</v>
      </c>
      <c r="J903" s="10" t="s">
        <v>143</v>
      </c>
      <c r="K903" s="10"/>
      <c r="L903" s="10"/>
      <c r="M903" s="10" t="s">
        <v>85</v>
      </c>
      <c r="N903" s="10"/>
      <c r="O903" s="10" t="s">
        <v>14</v>
      </c>
      <c r="P903" s="10" t="s">
        <v>1910</v>
      </c>
      <c r="Q903" s="10" t="s">
        <v>1911</v>
      </c>
      <c r="R903" s="10">
        <v>2006</v>
      </c>
      <c r="S903" s="10" t="s">
        <v>1503</v>
      </c>
      <c r="T903" s="10"/>
      <c r="U903" s="10" t="s">
        <v>1912</v>
      </c>
      <c r="V903" s="10" t="s">
        <v>1913</v>
      </c>
      <c r="W903" s="10" t="s">
        <v>91</v>
      </c>
      <c r="X903" s="10" t="s">
        <v>126</v>
      </c>
      <c r="Y903" s="10" t="s">
        <v>1914</v>
      </c>
      <c r="Z903" s="10" t="s">
        <v>1915</v>
      </c>
      <c r="AA903" s="10" t="s">
        <v>1916</v>
      </c>
      <c r="AB903" s="10" t="s">
        <v>1917</v>
      </c>
      <c r="AC903" s="10" t="s">
        <v>1918</v>
      </c>
      <c r="AD903" s="10" t="s">
        <v>132</v>
      </c>
      <c r="AE903" s="10" t="s">
        <v>133</v>
      </c>
      <c r="AF903" s="10" t="s">
        <v>100</v>
      </c>
      <c r="AG903" s="10" t="s">
        <v>102</v>
      </c>
      <c r="AH903" s="10" t="s">
        <v>102</v>
      </c>
      <c r="AI903" s="10" t="s">
        <v>134</v>
      </c>
      <c r="AJ903" s="10" t="s">
        <v>135</v>
      </c>
      <c r="AK903" s="10"/>
      <c r="AL903" s="10"/>
      <c r="AM903" s="10" t="s">
        <v>136</v>
      </c>
      <c r="AN903" s="10" t="s">
        <v>1184</v>
      </c>
      <c r="AO903" s="10"/>
      <c r="AP903" s="10"/>
      <c r="AQ903" s="10"/>
      <c r="AR903" s="10"/>
      <c r="AS903" s="10"/>
      <c r="AT903" s="10"/>
      <c r="AU903" s="10">
        <v>22.7</v>
      </c>
      <c r="AV903" s="10"/>
      <c r="AW903" s="10" t="s">
        <v>108</v>
      </c>
      <c r="AX903" s="10">
        <v>28</v>
      </c>
      <c r="AY903" s="10" t="s">
        <v>103</v>
      </c>
      <c r="AZ903" s="10" t="s">
        <v>109</v>
      </c>
      <c r="BA903" s="10" t="s">
        <v>142</v>
      </c>
      <c r="BB903" s="10">
        <v>30</v>
      </c>
      <c r="BC903" s="10">
        <v>34</v>
      </c>
      <c r="BD903" s="10"/>
      <c r="BE903" s="10" t="s">
        <v>139</v>
      </c>
      <c r="BF903" s="10">
        <v>30</v>
      </c>
      <c r="BG903" s="10">
        <v>0.3</v>
      </c>
      <c r="BH903" s="10"/>
      <c r="BI903" s="10"/>
      <c r="BJ903" s="10"/>
      <c r="BK903" s="10"/>
      <c r="BL903" s="10"/>
      <c r="BM903" s="10">
        <v>5.5</v>
      </c>
      <c r="BN903" s="10"/>
      <c r="BO903" s="10"/>
      <c r="BP903" s="10"/>
      <c r="BQ903" s="10"/>
      <c r="BR903" s="10" t="s">
        <v>69</v>
      </c>
      <c r="BS903" s="10" t="s">
        <v>768</v>
      </c>
      <c r="BT903" s="10"/>
      <c r="BU903" s="10" t="s">
        <v>1835</v>
      </c>
      <c r="BV903">
        <v>42.95</v>
      </c>
      <c r="BW903">
        <v>4.8989795000000003E-2</v>
      </c>
      <c r="BX903">
        <v>6</v>
      </c>
      <c r="BY903">
        <v>44.35</v>
      </c>
      <c r="BZ903">
        <v>4.8989795000000003E-2</v>
      </c>
      <c r="CA903">
        <v>6</v>
      </c>
      <c r="CB903" t="s">
        <v>113</v>
      </c>
      <c r="CC903" t="s">
        <v>1919</v>
      </c>
    </row>
    <row r="904" spans="1:81" x14ac:dyDescent="0.25">
      <c r="A904" s="10" t="s">
        <v>1778</v>
      </c>
      <c r="B904">
        <v>903</v>
      </c>
      <c r="C904" s="10">
        <v>26</v>
      </c>
      <c r="D904" s="10">
        <v>25</v>
      </c>
      <c r="E904" s="10">
        <v>194</v>
      </c>
      <c r="F904" s="10">
        <v>209</v>
      </c>
      <c r="G904" s="10">
        <v>510</v>
      </c>
      <c r="H904" s="10">
        <v>791</v>
      </c>
      <c r="I904" s="10" t="s">
        <v>322</v>
      </c>
      <c r="J904" s="10" t="s">
        <v>143</v>
      </c>
      <c r="K904" s="10"/>
      <c r="L904" s="10"/>
      <c r="M904" s="10" t="s">
        <v>85</v>
      </c>
      <c r="N904" s="10"/>
      <c r="O904" s="10" t="s">
        <v>14</v>
      </c>
      <c r="P904" s="10" t="s">
        <v>1910</v>
      </c>
      <c r="Q904" s="10" t="s">
        <v>1911</v>
      </c>
      <c r="R904" s="10">
        <v>2006</v>
      </c>
      <c r="S904" s="10" t="s">
        <v>1503</v>
      </c>
      <c r="T904" s="10"/>
      <c r="U904" s="10" t="s">
        <v>1912</v>
      </c>
      <c r="V904" s="10" t="s">
        <v>1913</v>
      </c>
      <c r="W904" s="10" t="s">
        <v>91</v>
      </c>
      <c r="X904" s="10" t="s">
        <v>126</v>
      </c>
      <c r="Y904" s="10" t="s">
        <v>1914</v>
      </c>
      <c r="Z904" s="10" t="s">
        <v>1915</v>
      </c>
      <c r="AA904" s="10" t="s">
        <v>1916</v>
      </c>
      <c r="AB904" s="10" t="s">
        <v>1917</v>
      </c>
      <c r="AC904" s="10" t="s">
        <v>1918</v>
      </c>
      <c r="AD904" s="10" t="s">
        <v>132</v>
      </c>
      <c r="AE904" s="10" t="s">
        <v>133</v>
      </c>
      <c r="AF904" s="10" t="s">
        <v>100</v>
      </c>
      <c r="AG904" s="10" t="s">
        <v>102</v>
      </c>
      <c r="AH904" s="10" t="s">
        <v>102</v>
      </c>
      <c r="AI904" s="10" t="s">
        <v>134</v>
      </c>
      <c r="AJ904" s="10" t="s">
        <v>135</v>
      </c>
      <c r="AK904" s="10"/>
      <c r="AL904" s="10"/>
      <c r="AM904" s="10" t="s">
        <v>136</v>
      </c>
      <c r="AN904" s="10" t="s">
        <v>1184</v>
      </c>
      <c r="AO904" s="10"/>
      <c r="AP904" s="10"/>
      <c r="AQ904" s="10"/>
      <c r="AR904" s="10"/>
      <c r="AS904" s="10"/>
      <c r="AT904" s="10"/>
      <c r="AU904" s="10">
        <v>22.7</v>
      </c>
      <c r="AV904" s="10"/>
      <c r="AW904" s="10" t="s">
        <v>108</v>
      </c>
      <c r="AX904" s="10">
        <v>28</v>
      </c>
      <c r="AY904" s="10" t="s">
        <v>103</v>
      </c>
      <c r="AZ904" s="10" t="s">
        <v>109</v>
      </c>
      <c r="BA904" s="10" t="s">
        <v>142</v>
      </c>
      <c r="BB904" s="10">
        <v>34</v>
      </c>
      <c r="BC904" s="10">
        <v>38</v>
      </c>
      <c r="BD904" s="10"/>
      <c r="BE904" s="10" t="s">
        <v>139</v>
      </c>
      <c r="BF904" s="10">
        <v>30</v>
      </c>
      <c r="BG904" s="10">
        <v>0.3</v>
      </c>
      <c r="BH904" s="10"/>
      <c r="BI904" s="10"/>
      <c r="BJ904" s="10"/>
      <c r="BK904" s="10"/>
      <c r="BL904" s="10"/>
      <c r="BM904" s="10">
        <v>5.5</v>
      </c>
      <c r="BN904" s="10"/>
      <c r="BO904" s="10"/>
      <c r="BP904" s="10"/>
      <c r="BQ904" s="10"/>
      <c r="BR904" s="10" t="s">
        <v>69</v>
      </c>
      <c r="BS904" s="10" t="s">
        <v>768</v>
      </c>
      <c r="BT904" s="10"/>
      <c r="BU904" s="10" t="s">
        <v>1835</v>
      </c>
      <c r="BV904">
        <v>44.35</v>
      </c>
      <c r="BW904">
        <v>4.8989795000000003E-2</v>
      </c>
      <c r="BX904">
        <v>6</v>
      </c>
      <c r="BY904">
        <v>44.53</v>
      </c>
      <c r="BZ904">
        <v>7.3484692000000004E-2</v>
      </c>
      <c r="CA904">
        <v>6</v>
      </c>
      <c r="CB904" t="s">
        <v>113</v>
      </c>
      <c r="CC904" t="s">
        <v>1919</v>
      </c>
    </row>
    <row r="905" spans="1:81" x14ac:dyDescent="0.25">
      <c r="A905" s="10" t="s">
        <v>1778</v>
      </c>
      <c r="B905">
        <v>904</v>
      </c>
      <c r="C905" s="10">
        <v>21</v>
      </c>
      <c r="D905" s="10">
        <v>4</v>
      </c>
      <c r="E905" s="10">
        <v>195</v>
      </c>
      <c r="F905" s="10">
        <v>210</v>
      </c>
      <c r="G905" s="10">
        <v>511</v>
      </c>
      <c r="H905" s="10">
        <v>792</v>
      </c>
      <c r="I905" s="10" t="s">
        <v>322</v>
      </c>
      <c r="J905" s="10" t="s">
        <v>197</v>
      </c>
      <c r="K905" s="10"/>
      <c r="L905" s="10"/>
      <c r="M905" s="10" t="s">
        <v>85</v>
      </c>
      <c r="N905" s="10"/>
      <c r="O905" s="10" t="s">
        <v>14</v>
      </c>
      <c r="P905" s="10" t="s">
        <v>1920</v>
      </c>
      <c r="Q905" s="10" t="s">
        <v>1921</v>
      </c>
      <c r="R905" s="10">
        <v>2005</v>
      </c>
      <c r="S905" s="10" t="s">
        <v>146</v>
      </c>
      <c r="T905" s="10"/>
      <c r="U905" s="10" t="s">
        <v>1922</v>
      </c>
      <c r="V905" s="10" t="s">
        <v>1923</v>
      </c>
      <c r="W905" s="10" t="s">
        <v>91</v>
      </c>
      <c r="X905" s="10" t="s">
        <v>126</v>
      </c>
      <c r="Y905" s="10" t="s">
        <v>127</v>
      </c>
      <c r="Z905" s="10" t="s">
        <v>128</v>
      </c>
      <c r="AA905" s="10" t="s">
        <v>149</v>
      </c>
      <c r="AB905" s="10" t="s">
        <v>150</v>
      </c>
      <c r="AC905" s="10" t="s">
        <v>151</v>
      </c>
      <c r="AD905" s="10" t="s">
        <v>132</v>
      </c>
      <c r="AE905" s="10" t="s">
        <v>133</v>
      </c>
      <c r="AF905" s="10" t="s">
        <v>100</v>
      </c>
      <c r="AG905" s="10" t="s">
        <v>102</v>
      </c>
      <c r="AH905" s="10" t="s">
        <v>102</v>
      </c>
      <c r="AI905" s="10" t="s">
        <v>134</v>
      </c>
      <c r="AJ905" s="10" t="s">
        <v>135</v>
      </c>
      <c r="AK905" s="10"/>
      <c r="AL905" s="10"/>
      <c r="AM905" s="10" t="s">
        <v>136</v>
      </c>
      <c r="AN905" s="10" t="s">
        <v>700</v>
      </c>
      <c r="AO905" s="10"/>
      <c r="AP905" s="10"/>
      <c r="AQ905" s="10"/>
      <c r="AR905" s="10"/>
      <c r="AS905" s="10"/>
      <c r="AT905" s="10"/>
      <c r="AU905" s="10">
        <f>(15.3+18.84)/2</f>
        <v>17.07</v>
      </c>
      <c r="AV905" s="10">
        <v>85</v>
      </c>
      <c r="AW905" s="10" t="s">
        <v>108</v>
      </c>
      <c r="AX905" s="10">
        <v>26</v>
      </c>
      <c r="AY905" s="10" t="s">
        <v>134</v>
      </c>
      <c r="AZ905" s="10" t="s">
        <v>109</v>
      </c>
      <c r="BA905" s="10" t="s">
        <v>138</v>
      </c>
      <c r="BB905" s="10">
        <v>26</v>
      </c>
      <c r="BC905" s="10">
        <v>31</v>
      </c>
      <c r="BD905" s="10"/>
      <c r="BE905" s="10" t="s">
        <v>139</v>
      </c>
      <c r="BF905" s="10">
        <v>60</v>
      </c>
      <c r="BG905" s="10">
        <v>0.3</v>
      </c>
      <c r="BH905" s="10"/>
      <c r="BI905" s="10"/>
      <c r="BJ905" s="10"/>
      <c r="BK905" s="10"/>
      <c r="BL905" s="10"/>
      <c r="BM905" s="10">
        <v>6.72</v>
      </c>
      <c r="BN905" s="10"/>
      <c r="BO905" s="10"/>
      <c r="BP905" s="10">
        <v>12</v>
      </c>
      <c r="BQ905" s="10"/>
      <c r="BR905" s="10" t="s">
        <v>69</v>
      </c>
      <c r="BS905" s="10" t="s">
        <v>515</v>
      </c>
      <c r="BT905" s="10"/>
      <c r="BU905" s="10" t="s">
        <v>1924</v>
      </c>
      <c r="BV905">
        <v>42.33</v>
      </c>
      <c r="BW905">
        <v>0.171464282</v>
      </c>
      <c r="BX905">
        <v>6</v>
      </c>
      <c r="BY905">
        <v>44.81</v>
      </c>
      <c r="BZ905">
        <v>0.171464282</v>
      </c>
      <c r="CA905">
        <v>6</v>
      </c>
      <c r="CB905" t="s">
        <v>113</v>
      </c>
      <c r="CC905" t="s">
        <v>1787</v>
      </c>
    </row>
    <row r="906" spans="1:81" x14ac:dyDescent="0.25">
      <c r="A906" s="10" t="s">
        <v>1778</v>
      </c>
      <c r="B906">
        <v>905</v>
      </c>
      <c r="C906" s="10">
        <v>21</v>
      </c>
      <c r="D906" s="10">
        <v>4</v>
      </c>
      <c r="E906" s="10">
        <v>195</v>
      </c>
      <c r="F906" s="10">
        <v>210</v>
      </c>
      <c r="G906" s="10">
        <v>511</v>
      </c>
      <c r="H906" s="10">
        <v>793</v>
      </c>
      <c r="I906" s="10" t="s">
        <v>322</v>
      </c>
      <c r="J906" s="10" t="s">
        <v>197</v>
      </c>
      <c r="K906" s="10"/>
      <c r="L906" s="10"/>
      <c r="M906" s="10" t="s">
        <v>85</v>
      </c>
      <c r="N906" s="10"/>
      <c r="O906" s="10" t="s">
        <v>14</v>
      </c>
      <c r="P906" s="10" t="s">
        <v>1920</v>
      </c>
      <c r="Q906" s="10" t="s">
        <v>1921</v>
      </c>
      <c r="R906" s="10">
        <v>2005</v>
      </c>
      <c r="S906" s="10" t="s">
        <v>146</v>
      </c>
      <c r="T906" s="10"/>
      <c r="U906" s="10" t="s">
        <v>1922</v>
      </c>
      <c r="V906" s="10" t="s">
        <v>1923</v>
      </c>
      <c r="W906" s="10" t="s">
        <v>91</v>
      </c>
      <c r="X906" s="10" t="s">
        <v>126</v>
      </c>
      <c r="Y906" s="10" t="s">
        <v>127</v>
      </c>
      <c r="Z906" s="10" t="s">
        <v>128</v>
      </c>
      <c r="AA906" s="10" t="s">
        <v>149</v>
      </c>
      <c r="AB906" s="10" t="s">
        <v>150</v>
      </c>
      <c r="AC906" s="10" t="s">
        <v>151</v>
      </c>
      <c r="AD906" s="10" t="s">
        <v>132</v>
      </c>
      <c r="AE906" s="10" t="s">
        <v>133</v>
      </c>
      <c r="AF906" s="10" t="s">
        <v>100</v>
      </c>
      <c r="AG906" s="10" t="s">
        <v>102</v>
      </c>
      <c r="AH906" s="10" t="s">
        <v>102</v>
      </c>
      <c r="AI906" s="10" t="s">
        <v>134</v>
      </c>
      <c r="AJ906" s="10" t="s">
        <v>135</v>
      </c>
      <c r="AK906" s="10"/>
      <c r="AL906" s="10"/>
      <c r="AM906" s="10" t="s">
        <v>136</v>
      </c>
      <c r="AN906" s="10" t="s">
        <v>700</v>
      </c>
      <c r="AO906" s="10"/>
      <c r="AP906" s="10"/>
      <c r="AQ906" s="10"/>
      <c r="AR906" s="10"/>
      <c r="AS906" s="10"/>
      <c r="AT906" s="10"/>
      <c r="AU906" s="10">
        <f>(17.38+18.84)/2</f>
        <v>18.11</v>
      </c>
      <c r="AV906" s="10">
        <v>85</v>
      </c>
      <c r="AW906" s="10" t="s">
        <v>108</v>
      </c>
      <c r="AX906" s="10">
        <v>26</v>
      </c>
      <c r="AY906" s="10" t="s">
        <v>103</v>
      </c>
      <c r="AZ906" s="10" t="s">
        <v>109</v>
      </c>
      <c r="BA906" s="10" t="s">
        <v>138</v>
      </c>
      <c r="BB906" s="10">
        <v>31</v>
      </c>
      <c r="BC906" s="10">
        <v>33</v>
      </c>
      <c r="BD906" s="10"/>
      <c r="BE906" s="10" t="s">
        <v>139</v>
      </c>
      <c r="BF906" s="10">
        <v>60</v>
      </c>
      <c r="BG906" s="10">
        <v>0.3</v>
      </c>
      <c r="BH906" s="10"/>
      <c r="BI906" s="10"/>
      <c r="BJ906" s="10"/>
      <c r="BK906" s="10"/>
      <c r="BL906" s="10"/>
      <c r="BM906" s="10">
        <v>6.36</v>
      </c>
      <c r="BN906" s="10"/>
      <c r="BO906" s="10"/>
      <c r="BP906" s="10">
        <v>12</v>
      </c>
      <c r="BQ906" s="10"/>
      <c r="BR906" s="10" t="s">
        <v>69</v>
      </c>
      <c r="BS906" s="10"/>
      <c r="BT906" s="10"/>
      <c r="BU906" s="10" t="s">
        <v>1925</v>
      </c>
      <c r="BV906">
        <v>44.81</v>
      </c>
      <c r="BW906">
        <v>0.171464282</v>
      </c>
      <c r="BX906">
        <v>6</v>
      </c>
      <c r="BY906">
        <v>45.35</v>
      </c>
      <c r="BZ906">
        <v>0.14696938500000001</v>
      </c>
      <c r="CA906">
        <v>6</v>
      </c>
      <c r="CB906" t="s">
        <v>113</v>
      </c>
      <c r="CC906" t="s">
        <v>1787</v>
      </c>
    </row>
    <row r="907" spans="1:81" x14ac:dyDescent="0.25">
      <c r="A907" s="10" t="s">
        <v>1778</v>
      </c>
      <c r="B907">
        <v>906</v>
      </c>
      <c r="C907" s="10">
        <v>21</v>
      </c>
      <c r="D907" s="10">
        <v>4</v>
      </c>
      <c r="E907" s="10">
        <v>195</v>
      </c>
      <c r="F907" s="10">
        <v>210</v>
      </c>
      <c r="G907" s="10">
        <v>511</v>
      </c>
      <c r="H907" s="10">
        <v>794</v>
      </c>
      <c r="I907" s="10" t="s">
        <v>322</v>
      </c>
      <c r="J907" s="10" t="s">
        <v>197</v>
      </c>
      <c r="K907" s="10"/>
      <c r="L907" s="10"/>
      <c r="M907" s="10" t="s">
        <v>85</v>
      </c>
      <c r="N907" s="10"/>
      <c r="O907" s="10" t="s">
        <v>14</v>
      </c>
      <c r="P907" s="10" t="s">
        <v>1920</v>
      </c>
      <c r="Q907" s="10" t="s">
        <v>1921</v>
      </c>
      <c r="R907" s="10">
        <v>2005</v>
      </c>
      <c r="S907" s="10" t="s">
        <v>146</v>
      </c>
      <c r="T907" s="10"/>
      <c r="U907" s="10" t="s">
        <v>1922</v>
      </c>
      <c r="V907" s="10" t="s">
        <v>1923</v>
      </c>
      <c r="W907" s="10" t="s">
        <v>91</v>
      </c>
      <c r="X907" s="10" t="s">
        <v>126</v>
      </c>
      <c r="Y907" s="10" t="s">
        <v>127</v>
      </c>
      <c r="Z907" s="10" t="s">
        <v>128</v>
      </c>
      <c r="AA907" s="10" t="s">
        <v>149</v>
      </c>
      <c r="AB907" s="10" t="s">
        <v>150</v>
      </c>
      <c r="AC907" s="10" t="s">
        <v>151</v>
      </c>
      <c r="AD907" s="10" t="s">
        <v>132</v>
      </c>
      <c r="AE907" s="10" t="s">
        <v>133</v>
      </c>
      <c r="AF907" s="10" t="s">
        <v>100</v>
      </c>
      <c r="AG907" s="10" t="s">
        <v>102</v>
      </c>
      <c r="AH907" s="10" t="s">
        <v>102</v>
      </c>
      <c r="AI907" s="10" t="s">
        <v>134</v>
      </c>
      <c r="AJ907" s="10" t="s">
        <v>135</v>
      </c>
      <c r="AK907" s="10"/>
      <c r="AL907" s="10"/>
      <c r="AM907" s="10" t="s">
        <v>136</v>
      </c>
      <c r="AN907" s="10" t="s">
        <v>700</v>
      </c>
      <c r="AO907" s="10"/>
      <c r="AP907" s="10"/>
      <c r="AQ907" s="10"/>
      <c r="AR907" s="10"/>
      <c r="AS907" s="10"/>
      <c r="AT907" s="10"/>
      <c r="AU907" s="10">
        <f>(17.38+14.31)/2</f>
        <v>15.844999999999999</v>
      </c>
      <c r="AV907" s="10">
        <v>85</v>
      </c>
      <c r="AW907" s="10" t="s">
        <v>108</v>
      </c>
      <c r="AX907" s="10">
        <v>26</v>
      </c>
      <c r="AY907" s="10" t="s">
        <v>103</v>
      </c>
      <c r="AZ907" s="10" t="s">
        <v>109</v>
      </c>
      <c r="BA907" s="10" t="s">
        <v>138</v>
      </c>
      <c r="BB907" s="10">
        <v>33</v>
      </c>
      <c r="BC907" s="10">
        <v>36</v>
      </c>
      <c r="BD907" s="10"/>
      <c r="BE907" s="10" t="s">
        <v>139</v>
      </c>
      <c r="BF907" s="10">
        <v>60</v>
      </c>
      <c r="BG907" s="10">
        <v>0.3</v>
      </c>
      <c r="BH907" s="10"/>
      <c r="BI907" s="10"/>
      <c r="BJ907" s="10"/>
      <c r="BK907" s="10"/>
      <c r="BL907" s="10"/>
      <c r="BM907" s="10">
        <v>5.74</v>
      </c>
      <c r="BN907" s="10"/>
      <c r="BO907" s="10"/>
      <c r="BP907" s="10">
        <v>12</v>
      </c>
      <c r="BQ907" s="10"/>
      <c r="BR907" s="10" t="s">
        <v>69</v>
      </c>
      <c r="BS907" s="10"/>
      <c r="BT907" s="10"/>
      <c r="BU907" s="10" t="s">
        <v>1925</v>
      </c>
      <c r="BV907">
        <v>45.35</v>
      </c>
      <c r="BW907">
        <v>0.14696938500000001</v>
      </c>
      <c r="BX907">
        <v>6</v>
      </c>
      <c r="BY907">
        <v>45.6</v>
      </c>
      <c r="BZ907">
        <v>7.3484692000000004E-2</v>
      </c>
      <c r="CA907">
        <v>6</v>
      </c>
      <c r="CB907" t="s">
        <v>113</v>
      </c>
      <c r="CC907" t="s">
        <v>1787</v>
      </c>
    </row>
    <row r="908" spans="1:81" x14ac:dyDescent="0.25">
      <c r="A908" s="10" t="s">
        <v>1778</v>
      </c>
      <c r="B908">
        <v>907</v>
      </c>
      <c r="C908" s="10">
        <v>20</v>
      </c>
      <c r="D908" s="10">
        <v>24</v>
      </c>
      <c r="E908" s="10">
        <v>196</v>
      </c>
      <c r="F908" s="10">
        <v>211</v>
      </c>
      <c r="G908" s="10">
        <v>512</v>
      </c>
      <c r="H908" s="10">
        <v>795</v>
      </c>
      <c r="I908" s="10" t="s">
        <v>322</v>
      </c>
      <c r="J908" s="10" t="s">
        <v>197</v>
      </c>
      <c r="K908" s="10"/>
      <c r="L908" s="10"/>
      <c r="M908" s="10" t="s">
        <v>85</v>
      </c>
      <c r="N908" s="10"/>
      <c r="O908" s="10" t="s">
        <v>14</v>
      </c>
      <c r="P908" s="10" t="s">
        <v>1926</v>
      </c>
      <c r="Q908" s="10" t="s">
        <v>1927</v>
      </c>
      <c r="R908" s="10">
        <v>2004</v>
      </c>
      <c r="S908" s="10" t="s">
        <v>146</v>
      </c>
      <c r="T908" s="10"/>
      <c r="U908" s="10" t="s">
        <v>1928</v>
      </c>
      <c r="V908" s="10" t="s">
        <v>1929</v>
      </c>
      <c r="W908" s="10" t="s">
        <v>91</v>
      </c>
      <c r="X908" s="10" t="s">
        <v>126</v>
      </c>
      <c r="Y908" s="10" t="s">
        <v>127</v>
      </c>
      <c r="Z908" s="10" t="s">
        <v>128</v>
      </c>
      <c r="AA908" s="10" t="s">
        <v>1930</v>
      </c>
      <c r="AB908" s="10" t="s">
        <v>1931</v>
      </c>
      <c r="AC908" s="10" t="s">
        <v>1932</v>
      </c>
      <c r="AD908" s="10" t="s">
        <v>132</v>
      </c>
      <c r="AE908" s="10" t="s">
        <v>133</v>
      </c>
      <c r="AF908" s="10" t="s">
        <v>100</v>
      </c>
      <c r="AG908" s="10" t="s">
        <v>102</v>
      </c>
      <c r="AH908" s="10" t="s">
        <v>102</v>
      </c>
      <c r="AI908" s="10" t="s">
        <v>134</v>
      </c>
      <c r="AJ908" s="10" t="s">
        <v>135</v>
      </c>
      <c r="AK908" s="10"/>
      <c r="AL908" s="10"/>
      <c r="AM908" s="10" t="s">
        <v>136</v>
      </c>
      <c r="AN908" s="10" t="s">
        <v>700</v>
      </c>
      <c r="AO908" s="10"/>
      <c r="AP908" s="10"/>
      <c r="AQ908" s="10"/>
      <c r="AR908" s="10"/>
      <c r="AS908" s="10"/>
      <c r="AT908" s="10"/>
      <c r="AU908" s="10">
        <v>25</v>
      </c>
      <c r="AV908" s="10"/>
      <c r="AW908" s="10" t="s">
        <v>108</v>
      </c>
      <c r="AX908" s="10">
        <v>26</v>
      </c>
      <c r="AY908" s="10" t="s">
        <v>134</v>
      </c>
      <c r="AZ908" s="10" t="s">
        <v>109</v>
      </c>
      <c r="BA908" s="10" t="s">
        <v>138</v>
      </c>
      <c r="BB908" s="10">
        <v>26</v>
      </c>
      <c r="BC908" s="10">
        <v>31</v>
      </c>
      <c r="BD908" s="10"/>
      <c r="BE908" s="10" t="s">
        <v>139</v>
      </c>
      <c r="BF908" s="10">
        <v>30</v>
      </c>
      <c r="BG908" s="10">
        <v>0.3</v>
      </c>
      <c r="BH908" s="10"/>
      <c r="BI908" s="10"/>
      <c r="BJ908" s="10"/>
      <c r="BK908" s="10"/>
      <c r="BL908" s="10"/>
      <c r="BM908" s="10">
        <v>5.5</v>
      </c>
      <c r="BN908" s="10"/>
      <c r="BO908" s="10"/>
      <c r="BP908" s="10"/>
      <c r="BQ908" s="10"/>
      <c r="BR908" s="10" t="s">
        <v>449</v>
      </c>
      <c r="BS908" s="10" t="s">
        <v>1933</v>
      </c>
      <c r="BT908" s="10"/>
      <c r="BU908" s="10" t="s">
        <v>1934</v>
      </c>
      <c r="BV908">
        <v>42.25</v>
      </c>
      <c r="BW908">
        <v>0.34292856399999999</v>
      </c>
      <c r="BX908">
        <v>6</v>
      </c>
      <c r="BY908">
        <v>42.55</v>
      </c>
      <c r="BZ908">
        <v>2.4494897000000002E-2</v>
      </c>
      <c r="CA908">
        <v>6</v>
      </c>
      <c r="CB908" t="s">
        <v>113</v>
      </c>
      <c r="CC908" t="s">
        <v>1787</v>
      </c>
    </row>
    <row r="909" spans="1:81" x14ac:dyDescent="0.25">
      <c r="A909" s="10" t="s">
        <v>1778</v>
      </c>
      <c r="B909">
        <v>908</v>
      </c>
      <c r="C909" s="10">
        <v>20</v>
      </c>
      <c r="D909" s="10">
        <v>24</v>
      </c>
      <c r="E909" s="10">
        <v>196</v>
      </c>
      <c r="F909" s="10">
        <v>211</v>
      </c>
      <c r="G909" s="10">
        <v>512</v>
      </c>
      <c r="H909" s="10">
        <v>796</v>
      </c>
      <c r="I909" s="10" t="s">
        <v>322</v>
      </c>
      <c r="J909" s="10" t="s">
        <v>197</v>
      </c>
      <c r="K909" s="10"/>
      <c r="L909" s="10"/>
      <c r="M909" s="10" t="s">
        <v>85</v>
      </c>
      <c r="N909" s="10"/>
      <c r="O909" s="10" t="s">
        <v>14</v>
      </c>
      <c r="P909" s="10" t="s">
        <v>1926</v>
      </c>
      <c r="Q909" s="10" t="s">
        <v>1927</v>
      </c>
      <c r="R909" s="10">
        <v>2004</v>
      </c>
      <c r="S909" s="10" t="s">
        <v>146</v>
      </c>
      <c r="T909" s="10"/>
      <c r="U909" s="10" t="s">
        <v>1928</v>
      </c>
      <c r="V909" s="10" t="s">
        <v>1929</v>
      </c>
      <c r="W909" s="10" t="s">
        <v>91</v>
      </c>
      <c r="X909" s="10" t="s">
        <v>126</v>
      </c>
      <c r="Y909" s="10" t="s">
        <v>127</v>
      </c>
      <c r="Z909" s="10" t="s">
        <v>128</v>
      </c>
      <c r="AA909" s="10" t="s">
        <v>1930</v>
      </c>
      <c r="AB909" s="10" t="s">
        <v>1931</v>
      </c>
      <c r="AC909" s="10" t="s">
        <v>1932</v>
      </c>
      <c r="AD909" s="10" t="s">
        <v>132</v>
      </c>
      <c r="AE909" s="10" t="s">
        <v>133</v>
      </c>
      <c r="AF909" s="10" t="s">
        <v>100</v>
      </c>
      <c r="AG909" s="10" t="s">
        <v>102</v>
      </c>
      <c r="AH909" s="10" t="s">
        <v>102</v>
      </c>
      <c r="AI909" s="10" t="s">
        <v>134</v>
      </c>
      <c r="AJ909" s="10" t="s">
        <v>135</v>
      </c>
      <c r="AK909" s="10"/>
      <c r="AL909" s="10"/>
      <c r="AM909" s="10" t="s">
        <v>136</v>
      </c>
      <c r="AN909" s="10" t="s">
        <v>700</v>
      </c>
      <c r="AO909" s="10"/>
      <c r="AP909" s="10"/>
      <c r="AQ909" s="10"/>
      <c r="AR909" s="10"/>
      <c r="AS909" s="10"/>
      <c r="AT909" s="10"/>
      <c r="AU909" s="10">
        <v>25</v>
      </c>
      <c r="AV909" s="10"/>
      <c r="AW909" s="10" t="s">
        <v>108</v>
      </c>
      <c r="AX909" s="10">
        <v>26</v>
      </c>
      <c r="AY909" s="10" t="s">
        <v>103</v>
      </c>
      <c r="AZ909" s="10" t="s">
        <v>109</v>
      </c>
      <c r="BA909" s="10" t="s">
        <v>138</v>
      </c>
      <c r="BB909" s="10">
        <v>31</v>
      </c>
      <c r="BC909" s="10">
        <v>33</v>
      </c>
      <c r="BD909" s="10"/>
      <c r="BE909" s="10" t="s">
        <v>139</v>
      </c>
      <c r="BF909" s="10">
        <v>30</v>
      </c>
      <c r="BG909" s="10">
        <v>0.3</v>
      </c>
      <c r="BH909" s="10"/>
      <c r="BI909" s="10"/>
      <c r="BJ909" s="10"/>
      <c r="BK909" s="10"/>
      <c r="BL909" s="10"/>
      <c r="BM909" s="10">
        <v>5.5</v>
      </c>
      <c r="BN909" s="10"/>
      <c r="BO909" s="10"/>
      <c r="BP909" s="10"/>
      <c r="BQ909" s="10"/>
      <c r="BR909" s="10" t="s">
        <v>449</v>
      </c>
      <c r="BS909" s="10" t="s">
        <v>768</v>
      </c>
      <c r="BT909" s="10"/>
      <c r="BU909" s="10" t="s">
        <v>1934</v>
      </c>
      <c r="BV909">
        <v>42.55</v>
      </c>
      <c r="BW909">
        <v>2.4494897000000002E-2</v>
      </c>
      <c r="BX909">
        <v>6</v>
      </c>
      <c r="BY909">
        <v>42.76</v>
      </c>
      <c r="BZ909">
        <v>0.12247448700000001</v>
      </c>
      <c r="CA909">
        <v>6</v>
      </c>
      <c r="CB909" t="s">
        <v>113</v>
      </c>
      <c r="CC909" t="s">
        <v>1787</v>
      </c>
    </row>
    <row r="910" spans="1:81" x14ac:dyDescent="0.25">
      <c r="A910" s="10" t="s">
        <v>1778</v>
      </c>
      <c r="B910">
        <v>909</v>
      </c>
      <c r="C910" s="10">
        <v>20</v>
      </c>
      <c r="D910" s="10">
        <v>24</v>
      </c>
      <c r="E910" s="10">
        <v>196</v>
      </c>
      <c r="F910" s="10">
        <v>211</v>
      </c>
      <c r="G910" s="10">
        <v>512</v>
      </c>
      <c r="H910" s="10">
        <v>797</v>
      </c>
      <c r="I910" s="10" t="s">
        <v>322</v>
      </c>
      <c r="J910" s="10" t="s">
        <v>197</v>
      </c>
      <c r="K910" s="10"/>
      <c r="L910" s="10"/>
      <c r="M910" s="10" t="s">
        <v>85</v>
      </c>
      <c r="N910" s="10"/>
      <c r="O910" s="10" t="s">
        <v>14</v>
      </c>
      <c r="P910" s="10" t="s">
        <v>1926</v>
      </c>
      <c r="Q910" s="10" t="s">
        <v>1927</v>
      </c>
      <c r="R910" s="10">
        <v>2004</v>
      </c>
      <c r="S910" s="10" t="s">
        <v>146</v>
      </c>
      <c r="T910" s="10"/>
      <c r="U910" s="10" t="s">
        <v>1928</v>
      </c>
      <c r="V910" s="10" t="s">
        <v>1929</v>
      </c>
      <c r="W910" s="10" t="s">
        <v>91</v>
      </c>
      <c r="X910" s="10" t="s">
        <v>126</v>
      </c>
      <c r="Y910" s="10" t="s">
        <v>127</v>
      </c>
      <c r="Z910" s="10" t="s">
        <v>128</v>
      </c>
      <c r="AA910" s="10" t="s">
        <v>1930</v>
      </c>
      <c r="AB910" s="10" t="s">
        <v>1931</v>
      </c>
      <c r="AC910" s="10" t="s">
        <v>1932</v>
      </c>
      <c r="AD910" s="10" t="s">
        <v>132</v>
      </c>
      <c r="AE910" s="10" t="s">
        <v>133</v>
      </c>
      <c r="AF910" s="10" t="s">
        <v>100</v>
      </c>
      <c r="AG910" s="10" t="s">
        <v>102</v>
      </c>
      <c r="AH910" s="10" t="s">
        <v>102</v>
      </c>
      <c r="AI910" s="10" t="s">
        <v>134</v>
      </c>
      <c r="AJ910" s="10" t="s">
        <v>135</v>
      </c>
      <c r="AK910" s="10"/>
      <c r="AL910" s="10"/>
      <c r="AM910" s="10" t="s">
        <v>136</v>
      </c>
      <c r="AN910" s="10" t="s">
        <v>700</v>
      </c>
      <c r="AO910" s="10"/>
      <c r="AP910" s="10"/>
      <c r="AQ910" s="10"/>
      <c r="AR910" s="10"/>
      <c r="AS910" s="10"/>
      <c r="AT910" s="10"/>
      <c r="AU910" s="10">
        <v>25</v>
      </c>
      <c r="AV910" s="10"/>
      <c r="AW910" s="10" t="s">
        <v>108</v>
      </c>
      <c r="AX910" s="10">
        <v>26</v>
      </c>
      <c r="AY910" s="10" t="s">
        <v>103</v>
      </c>
      <c r="AZ910" s="10" t="s">
        <v>109</v>
      </c>
      <c r="BA910" s="10" t="s">
        <v>138</v>
      </c>
      <c r="BB910" s="10">
        <v>33</v>
      </c>
      <c r="BC910" s="10">
        <v>36</v>
      </c>
      <c r="BD910" s="10"/>
      <c r="BE910" s="10" t="s">
        <v>139</v>
      </c>
      <c r="BF910" s="10">
        <v>30</v>
      </c>
      <c r="BG910" s="10">
        <v>0.3</v>
      </c>
      <c r="BH910" s="10"/>
      <c r="BI910" s="10"/>
      <c r="BJ910" s="10"/>
      <c r="BK910" s="10"/>
      <c r="BL910" s="10"/>
      <c r="BM910" s="10">
        <v>5.5</v>
      </c>
      <c r="BN910" s="10"/>
      <c r="BO910" s="10"/>
      <c r="BP910" s="10"/>
      <c r="BQ910" s="10"/>
      <c r="BR910" s="10" t="s">
        <v>449</v>
      </c>
      <c r="BS910" s="10" t="s">
        <v>768</v>
      </c>
      <c r="BT910" s="10"/>
      <c r="BU910" s="10" t="s">
        <v>1934</v>
      </c>
      <c r="BV910">
        <v>42.76</v>
      </c>
      <c r="BW910">
        <v>0.12247448700000001</v>
      </c>
      <c r="BX910">
        <v>6</v>
      </c>
      <c r="BY910">
        <v>43.07</v>
      </c>
      <c r="BZ910">
        <v>0.19595917900000001</v>
      </c>
      <c r="CA910">
        <v>6</v>
      </c>
      <c r="CB910" t="s">
        <v>113</v>
      </c>
      <c r="CC910" t="s">
        <v>1787</v>
      </c>
    </row>
    <row r="911" spans="1:81" x14ac:dyDescent="0.25">
      <c r="A911" s="10" t="s">
        <v>1778</v>
      </c>
      <c r="B911">
        <v>910</v>
      </c>
      <c r="C911" s="10">
        <v>20</v>
      </c>
      <c r="D911" s="10">
        <v>23</v>
      </c>
      <c r="E911" s="10">
        <v>197</v>
      </c>
      <c r="F911" s="10">
        <v>212</v>
      </c>
      <c r="G911" s="10">
        <v>513</v>
      </c>
      <c r="H911" s="10">
        <v>798</v>
      </c>
      <c r="I911" s="10" t="s">
        <v>322</v>
      </c>
      <c r="J911" s="10" t="s">
        <v>197</v>
      </c>
      <c r="K911" s="10"/>
      <c r="L911" s="10"/>
      <c r="M911" s="10" t="s">
        <v>85</v>
      </c>
      <c r="N911" s="10"/>
      <c r="O911" s="10" t="s">
        <v>14</v>
      </c>
      <c r="P911" s="10" t="s">
        <v>1926</v>
      </c>
      <c r="Q911" s="10" t="s">
        <v>1927</v>
      </c>
      <c r="R911" s="10">
        <v>2004</v>
      </c>
      <c r="S911" s="10" t="s">
        <v>146</v>
      </c>
      <c r="T911" s="10"/>
      <c r="U911" s="10" t="s">
        <v>1928</v>
      </c>
      <c r="V911" s="10" t="s">
        <v>1929</v>
      </c>
      <c r="W911" s="10" t="s">
        <v>91</v>
      </c>
      <c r="X911" s="10" t="s">
        <v>126</v>
      </c>
      <c r="Y911" s="10" t="s">
        <v>127</v>
      </c>
      <c r="Z911" s="10" t="s">
        <v>128</v>
      </c>
      <c r="AA911" s="10" t="s">
        <v>1935</v>
      </c>
      <c r="AB911" s="10" t="s">
        <v>1936</v>
      </c>
      <c r="AC911" s="10" t="s">
        <v>1937</v>
      </c>
      <c r="AD911" s="10" t="s">
        <v>132</v>
      </c>
      <c r="AE911" s="10" t="s">
        <v>133</v>
      </c>
      <c r="AF911" s="10" t="s">
        <v>100</v>
      </c>
      <c r="AG911" s="10" t="s">
        <v>102</v>
      </c>
      <c r="AH911" s="10" t="s">
        <v>102</v>
      </c>
      <c r="AI911" s="10" t="s">
        <v>134</v>
      </c>
      <c r="AJ911" s="10" t="s">
        <v>135</v>
      </c>
      <c r="AK911" s="10"/>
      <c r="AL911" s="10"/>
      <c r="AM911" s="10" t="s">
        <v>136</v>
      </c>
      <c r="AN911" s="10" t="s">
        <v>700</v>
      </c>
      <c r="AO911" s="10"/>
      <c r="AP911" s="10"/>
      <c r="AQ911" s="10"/>
      <c r="AR911" s="10"/>
      <c r="AS911" s="10"/>
      <c r="AT911" s="10"/>
      <c r="AU911" s="10">
        <v>28</v>
      </c>
      <c r="AV911" s="10"/>
      <c r="AW911" s="10" t="s">
        <v>108</v>
      </c>
      <c r="AX911" s="10">
        <v>26</v>
      </c>
      <c r="AY911" s="10" t="s">
        <v>134</v>
      </c>
      <c r="AZ911" s="10" t="s">
        <v>109</v>
      </c>
      <c r="BA911" s="10" t="s">
        <v>138</v>
      </c>
      <c r="BB911" s="10">
        <v>26</v>
      </c>
      <c r="BC911" s="10">
        <v>31</v>
      </c>
      <c r="BD911" s="10"/>
      <c r="BE911" s="10" t="s">
        <v>139</v>
      </c>
      <c r="BF911" s="10">
        <v>30</v>
      </c>
      <c r="BG911" s="10">
        <v>0.3</v>
      </c>
      <c r="BH911" s="10"/>
      <c r="BI911" s="10"/>
      <c r="BJ911" s="10"/>
      <c r="BK911" s="10"/>
      <c r="BL911" s="10"/>
      <c r="BM911" s="10">
        <v>5.5</v>
      </c>
      <c r="BN911" s="10"/>
      <c r="BO911" s="10"/>
      <c r="BP911" s="10"/>
      <c r="BQ911" s="10"/>
      <c r="BR911" s="10" t="s">
        <v>449</v>
      </c>
      <c r="BS911" s="10" t="s">
        <v>1933</v>
      </c>
      <c r="BT911" s="10"/>
      <c r="BU911" s="10" t="s">
        <v>1934</v>
      </c>
      <c r="BV911">
        <v>40.450000000000003</v>
      </c>
      <c r="BW911">
        <v>0.93080610200000002</v>
      </c>
      <c r="BX911">
        <v>6</v>
      </c>
      <c r="BY911">
        <v>41.39</v>
      </c>
      <c r="BZ911">
        <v>0.93080610200000002</v>
      </c>
      <c r="CA911">
        <v>6</v>
      </c>
      <c r="CB911" t="s">
        <v>113</v>
      </c>
      <c r="CC911" t="s">
        <v>1787</v>
      </c>
    </row>
    <row r="912" spans="1:81" x14ac:dyDescent="0.25">
      <c r="A912" s="10" t="s">
        <v>1778</v>
      </c>
      <c r="B912">
        <v>911</v>
      </c>
      <c r="C912" s="10">
        <v>20</v>
      </c>
      <c r="D912" s="10">
        <v>23</v>
      </c>
      <c r="E912" s="10">
        <v>197</v>
      </c>
      <c r="F912" s="10">
        <v>212</v>
      </c>
      <c r="G912" s="10">
        <v>513</v>
      </c>
      <c r="H912" s="10">
        <v>799</v>
      </c>
      <c r="I912" s="10" t="s">
        <v>322</v>
      </c>
      <c r="J912" s="10" t="s">
        <v>197</v>
      </c>
      <c r="K912" s="10"/>
      <c r="L912" s="10"/>
      <c r="M912" s="10" t="s">
        <v>85</v>
      </c>
      <c r="N912" s="10"/>
      <c r="O912" s="10" t="s">
        <v>14</v>
      </c>
      <c r="P912" s="10" t="s">
        <v>1926</v>
      </c>
      <c r="Q912" s="10" t="s">
        <v>1927</v>
      </c>
      <c r="R912" s="10">
        <v>2004</v>
      </c>
      <c r="S912" s="10" t="s">
        <v>146</v>
      </c>
      <c r="T912" s="10"/>
      <c r="U912" s="10" t="s">
        <v>1928</v>
      </c>
      <c r="V912" s="10" t="s">
        <v>1929</v>
      </c>
      <c r="W912" s="10" t="s">
        <v>91</v>
      </c>
      <c r="X912" s="10" t="s">
        <v>126</v>
      </c>
      <c r="Y912" s="10" t="s">
        <v>127</v>
      </c>
      <c r="Z912" s="10" t="s">
        <v>128</v>
      </c>
      <c r="AA912" s="10" t="s">
        <v>1935</v>
      </c>
      <c r="AB912" s="10" t="s">
        <v>1936</v>
      </c>
      <c r="AC912" s="10" t="s">
        <v>1937</v>
      </c>
      <c r="AD912" s="10" t="s">
        <v>132</v>
      </c>
      <c r="AE912" s="10" t="s">
        <v>133</v>
      </c>
      <c r="AF912" s="10" t="s">
        <v>100</v>
      </c>
      <c r="AG912" s="10" t="s">
        <v>102</v>
      </c>
      <c r="AH912" s="10" t="s">
        <v>102</v>
      </c>
      <c r="AI912" s="10" t="s">
        <v>134</v>
      </c>
      <c r="AJ912" s="10" t="s">
        <v>135</v>
      </c>
      <c r="AK912" s="10"/>
      <c r="AL912" s="10"/>
      <c r="AM912" s="10" t="s">
        <v>136</v>
      </c>
      <c r="AN912" s="10" t="s">
        <v>700</v>
      </c>
      <c r="AO912" s="10"/>
      <c r="AP912" s="10"/>
      <c r="AQ912" s="10"/>
      <c r="AR912" s="10"/>
      <c r="AS912" s="10"/>
      <c r="AT912" s="10"/>
      <c r="AU912" s="10">
        <v>28</v>
      </c>
      <c r="AV912" s="10"/>
      <c r="AW912" s="10" t="s">
        <v>108</v>
      </c>
      <c r="AX912" s="10">
        <v>26</v>
      </c>
      <c r="AY912" s="10" t="s">
        <v>103</v>
      </c>
      <c r="AZ912" s="10" t="s">
        <v>109</v>
      </c>
      <c r="BA912" s="10" t="s">
        <v>138</v>
      </c>
      <c r="BB912" s="10">
        <v>31</v>
      </c>
      <c r="BC912" s="10">
        <v>33</v>
      </c>
      <c r="BD912" s="10"/>
      <c r="BE912" s="10" t="s">
        <v>139</v>
      </c>
      <c r="BF912" s="10">
        <v>30</v>
      </c>
      <c r="BG912" s="10">
        <v>0.3</v>
      </c>
      <c r="BH912" s="10"/>
      <c r="BI912" s="10"/>
      <c r="BJ912" s="10"/>
      <c r="BK912" s="10"/>
      <c r="BL912" s="10"/>
      <c r="BM912" s="10">
        <v>5.5</v>
      </c>
      <c r="BN912" s="10"/>
      <c r="BO912" s="10"/>
      <c r="BP912" s="10"/>
      <c r="BQ912" s="10"/>
      <c r="BR912" s="10" t="s">
        <v>449</v>
      </c>
      <c r="BS912" s="10" t="s">
        <v>768</v>
      </c>
      <c r="BT912" s="10"/>
      <c r="BU912" s="10" t="s">
        <v>1934</v>
      </c>
      <c r="BV912">
        <v>41.39</v>
      </c>
      <c r="BW912">
        <v>0.93080610200000002</v>
      </c>
      <c r="BX912">
        <v>6</v>
      </c>
      <c r="BY912">
        <v>42.63</v>
      </c>
      <c r="BZ912">
        <v>4.8989795000000003E-2</v>
      </c>
      <c r="CA912">
        <v>6</v>
      </c>
      <c r="CB912" t="s">
        <v>113</v>
      </c>
      <c r="CC912" t="s">
        <v>1787</v>
      </c>
    </row>
    <row r="913" spans="1:81" x14ac:dyDescent="0.25">
      <c r="A913" s="10" t="s">
        <v>1778</v>
      </c>
      <c r="B913">
        <v>912</v>
      </c>
      <c r="C913" s="10">
        <v>20</v>
      </c>
      <c r="D913" s="10">
        <v>23</v>
      </c>
      <c r="E913" s="10">
        <v>197</v>
      </c>
      <c r="F913" s="10">
        <v>212</v>
      </c>
      <c r="G913" s="10">
        <v>513</v>
      </c>
      <c r="H913" s="10">
        <v>800</v>
      </c>
      <c r="I913" s="10" t="s">
        <v>322</v>
      </c>
      <c r="J913" s="10" t="s">
        <v>197</v>
      </c>
      <c r="K913" s="10"/>
      <c r="L913" s="10"/>
      <c r="M913" s="10" t="s">
        <v>85</v>
      </c>
      <c r="N913" s="10"/>
      <c r="O913" s="10" t="s">
        <v>14</v>
      </c>
      <c r="P913" s="10" t="s">
        <v>1926</v>
      </c>
      <c r="Q913" s="10" t="s">
        <v>1927</v>
      </c>
      <c r="R913" s="10">
        <v>2004</v>
      </c>
      <c r="S913" s="10" t="s">
        <v>146</v>
      </c>
      <c r="T913" s="10"/>
      <c r="U913" s="10" t="s">
        <v>1928</v>
      </c>
      <c r="V913" s="10" t="s">
        <v>1929</v>
      </c>
      <c r="W913" s="10" t="s">
        <v>91</v>
      </c>
      <c r="X913" s="10" t="s">
        <v>126</v>
      </c>
      <c r="Y913" s="10" t="s">
        <v>127</v>
      </c>
      <c r="Z913" s="10" t="s">
        <v>128</v>
      </c>
      <c r="AA913" s="10" t="s">
        <v>1935</v>
      </c>
      <c r="AB913" s="10" t="s">
        <v>1936</v>
      </c>
      <c r="AC913" s="10" t="s">
        <v>1937</v>
      </c>
      <c r="AD913" s="10" t="s">
        <v>132</v>
      </c>
      <c r="AE913" s="10" t="s">
        <v>133</v>
      </c>
      <c r="AF913" s="10" t="s">
        <v>100</v>
      </c>
      <c r="AG913" s="10" t="s">
        <v>102</v>
      </c>
      <c r="AH913" s="10" t="s">
        <v>102</v>
      </c>
      <c r="AI913" s="10" t="s">
        <v>134</v>
      </c>
      <c r="AJ913" s="10" t="s">
        <v>135</v>
      </c>
      <c r="AK913" s="10"/>
      <c r="AL913" s="10"/>
      <c r="AM913" s="10" t="s">
        <v>136</v>
      </c>
      <c r="AN913" s="10" t="s">
        <v>700</v>
      </c>
      <c r="AO913" s="10"/>
      <c r="AP913" s="10"/>
      <c r="AQ913" s="10"/>
      <c r="AR913" s="10"/>
      <c r="AS913" s="10"/>
      <c r="AT913" s="10"/>
      <c r="AU913" s="10">
        <v>28</v>
      </c>
      <c r="AV913" s="10"/>
      <c r="AW913" s="10" t="s">
        <v>108</v>
      </c>
      <c r="AX913" s="10">
        <v>26</v>
      </c>
      <c r="AY913" s="10" t="s">
        <v>103</v>
      </c>
      <c r="AZ913" s="10" t="s">
        <v>109</v>
      </c>
      <c r="BA913" s="10" t="s">
        <v>138</v>
      </c>
      <c r="BB913" s="10">
        <v>33</v>
      </c>
      <c r="BC913" s="10">
        <v>36</v>
      </c>
      <c r="BD913" s="10"/>
      <c r="BE913" s="10" t="s">
        <v>139</v>
      </c>
      <c r="BF913" s="10">
        <v>30</v>
      </c>
      <c r="BG913" s="10">
        <v>0.3</v>
      </c>
      <c r="BH913" s="10"/>
      <c r="BI913" s="10"/>
      <c r="BJ913" s="10"/>
      <c r="BK913" s="10"/>
      <c r="BL913" s="10"/>
      <c r="BM913" s="10">
        <v>5.5</v>
      </c>
      <c r="BN913" s="10"/>
      <c r="BO913" s="10"/>
      <c r="BP913" s="10"/>
      <c r="BQ913" s="10"/>
      <c r="BR913" s="10" t="s">
        <v>449</v>
      </c>
      <c r="BS913" s="10" t="s">
        <v>768</v>
      </c>
      <c r="BT913" s="10"/>
      <c r="BU913" s="10" t="s">
        <v>1934</v>
      </c>
      <c r="BV913">
        <v>42.63</v>
      </c>
      <c r="BW913">
        <v>4.8989795000000003E-2</v>
      </c>
      <c r="BX913">
        <v>6</v>
      </c>
      <c r="BY913">
        <v>42.73</v>
      </c>
      <c r="BZ913">
        <v>4.8989795000000003E-2</v>
      </c>
      <c r="CA913">
        <v>6</v>
      </c>
      <c r="CB913" t="s">
        <v>113</v>
      </c>
      <c r="CC913" t="s">
        <v>1787</v>
      </c>
    </row>
    <row r="914" spans="1:81" x14ac:dyDescent="0.25">
      <c r="A914" s="10" t="s">
        <v>1778</v>
      </c>
      <c r="B914">
        <v>913</v>
      </c>
      <c r="C914" s="10">
        <v>20</v>
      </c>
      <c r="D914" s="10">
        <v>4</v>
      </c>
      <c r="E914" s="10">
        <v>198</v>
      </c>
      <c r="F914" s="10">
        <v>213</v>
      </c>
      <c r="G914" s="10">
        <v>514</v>
      </c>
      <c r="H914" s="10">
        <v>801</v>
      </c>
      <c r="I914" s="10" t="s">
        <v>322</v>
      </c>
      <c r="J914" s="10" t="s">
        <v>197</v>
      </c>
      <c r="K914" s="10"/>
      <c r="L914" s="10"/>
      <c r="M914" s="10" t="s">
        <v>85</v>
      </c>
      <c r="N914" s="10"/>
      <c r="O914" s="10" t="s">
        <v>14</v>
      </c>
      <c r="P914" s="10" t="s">
        <v>1926</v>
      </c>
      <c r="Q914" s="10" t="s">
        <v>1927</v>
      </c>
      <c r="R914" s="10">
        <v>2004</v>
      </c>
      <c r="S914" s="10" t="s">
        <v>146</v>
      </c>
      <c r="T914" s="10"/>
      <c r="U914" s="10" t="s">
        <v>1928</v>
      </c>
      <c r="V914" s="10" t="s">
        <v>1929</v>
      </c>
      <c r="W914" s="10" t="s">
        <v>91</v>
      </c>
      <c r="X914" s="10" t="s">
        <v>126</v>
      </c>
      <c r="Y914" s="10" t="s">
        <v>127</v>
      </c>
      <c r="Z914" s="10" t="s">
        <v>128</v>
      </c>
      <c r="AA914" s="10" t="s">
        <v>149</v>
      </c>
      <c r="AB914" s="10" t="s">
        <v>150</v>
      </c>
      <c r="AC914" s="10" t="s">
        <v>151</v>
      </c>
      <c r="AD914" s="10" t="s">
        <v>132</v>
      </c>
      <c r="AE914" s="10" t="s">
        <v>133</v>
      </c>
      <c r="AF914" s="10" t="s">
        <v>100</v>
      </c>
      <c r="AG914" s="10" t="s">
        <v>102</v>
      </c>
      <c r="AH914" s="10" t="s">
        <v>102</v>
      </c>
      <c r="AI914" s="10" t="s">
        <v>134</v>
      </c>
      <c r="AJ914" s="10" t="s">
        <v>135</v>
      </c>
      <c r="AK914" s="10"/>
      <c r="AL914" s="10"/>
      <c r="AM914" s="10" t="s">
        <v>136</v>
      </c>
      <c r="AN914" s="10" t="s">
        <v>700</v>
      </c>
      <c r="AO914" s="10"/>
      <c r="AP914" s="10"/>
      <c r="AQ914" s="10"/>
      <c r="AR914" s="10"/>
      <c r="AS914" s="10"/>
      <c r="AT914" s="10"/>
      <c r="AU914" s="10">
        <v>30</v>
      </c>
      <c r="AV914" s="10"/>
      <c r="AW914" s="10" t="s">
        <v>108</v>
      </c>
      <c r="AX914" s="10">
        <v>26</v>
      </c>
      <c r="AY914" s="10" t="s">
        <v>134</v>
      </c>
      <c r="AZ914" s="10" t="s">
        <v>109</v>
      </c>
      <c r="BA914" s="10" t="s">
        <v>138</v>
      </c>
      <c r="BB914" s="10">
        <v>26</v>
      </c>
      <c r="BC914" s="10">
        <v>31</v>
      </c>
      <c r="BD914" s="10"/>
      <c r="BE914" s="10" t="s">
        <v>139</v>
      </c>
      <c r="BF914" s="10">
        <v>30</v>
      </c>
      <c r="BG914" s="10">
        <v>0.3</v>
      </c>
      <c r="BH914" s="10"/>
      <c r="BI914" s="10"/>
      <c r="BJ914" s="10"/>
      <c r="BK914" s="10"/>
      <c r="BL914" s="10"/>
      <c r="BM914" s="10">
        <v>5.5</v>
      </c>
      <c r="BN914" s="10"/>
      <c r="BO914" s="10"/>
      <c r="BP914" s="10"/>
      <c r="BQ914" s="10"/>
      <c r="BR914" s="10" t="s">
        <v>449</v>
      </c>
      <c r="BS914" s="10" t="s">
        <v>1933</v>
      </c>
      <c r="BT914" s="10"/>
      <c r="BU914" s="10" t="s">
        <v>1934</v>
      </c>
      <c r="BV914">
        <v>40.630000000000003</v>
      </c>
      <c r="BW914">
        <v>0.41641325600000001</v>
      </c>
      <c r="BX914">
        <v>6</v>
      </c>
      <c r="BY914">
        <v>41.91</v>
      </c>
      <c r="BZ914">
        <v>0.53888774299999997</v>
      </c>
      <c r="CA914">
        <v>6</v>
      </c>
      <c r="CB914" t="s">
        <v>113</v>
      </c>
      <c r="CC914" t="s">
        <v>1787</v>
      </c>
    </row>
    <row r="915" spans="1:81" x14ac:dyDescent="0.25">
      <c r="A915" s="10" t="s">
        <v>1778</v>
      </c>
      <c r="B915">
        <v>914</v>
      </c>
      <c r="C915" s="10">
        <v>20</v>
      </c>
      <c r="D915" s="10">
        <v>4</v>
      </c>
      <c r="E915" s="10">
        <v>198</v>
      </c>
      <c r="F915" s="10">
        <v>213</v>
      </c>
      <c r="G915" s="10">
        <v>514</v>
      </c>
      <c r="H915" s="10">
        <v>802</v>
      </c>
      <c r="I915" s="10" t="s">
        <v>322</v>
      </c>
      <c r="J915" s="10" t="s">
        <v>197</v>
      </c>
      <c r="K915" s="10"/>
      <c r="L915" s="10"/>
      <c r="M915" s="10" t="s">
        <v>85</v>
      </c>
      <c r="N915" s="10"/>
      <c r="O915" s="10" t="s">
        <v>14</v>
      </c>
      <c r="P915" s="10" t="s">
        <v>1926</v>
      </c>
      <c r="Q915" s="10" t="s">
        <v>1927</v>
      </c>
      <c r="R915" s="10">
        <v>2004</v>
      </c>
      <c r="S915" s="10" t="s">
        <v>146</v>
      </c>
      <c r="T915" s="10"/>
      <c r="U915" s="10" t="s">
        <v>1928</v>
      </c>
      <c r="V915" s="10" t="s">
        <v>1929</v>
      </c>
      <c r="W915" s="10" t="s">
        <v>91</v>
      </c>
      <c r="X915" s="10" t="s">
        <v>126</v>
      </c>
      <c r="Y915" s="10" t="s">
        <v>127</v>
      </c>
      <c r="Z915" s="10" t="s">
        <v>128</v>
      </c>
      <c r="AA915" s="10" t="s">
        <v>149</v>
      </c>
      <c r="AB915" s="10" t="s">
        <v>150</v>
      </c>
      <c r="AC915" s="10" t="s">
        <v>151</v>
      </c>
      <c r="AD915" s="10" t="s">
        <v>132</v>
      </c>
      <c r="AE915" s="10" t="s">
        <v>133</v>
      </c>
      <c r="AF915" s="10" t="s">
        <v>100</v>
      </c>
      <c r="AG915" s="10" t="s">
        <v>102</v>
      </c>
      <c r="AH915" s="10" t="s">
        <v>102</v>
      </c>
      <c r="AI915" s="10" t="s">
        <v>134</v>
      </c>
      <c r="AJ915" s="10" t="s">
        <v>135</v>
      </c>
      <c r="AK915" s="10"/>
      <c r="AL915" s="10"/>
      <c r="AM915" s="10" t="s">
        <v>136</v>
      </c>
      <c r="AN915" s="10" t="s">
        <v>700</v>
      </c>
      <c r="AO915" s="10"/>
      <c r="AP915" s="10"/>
      <c r="AQ915" s="10"/>
      <c r="AR915" s="10"/>
      <c r="AS915" s="10"/>
      <c r="AT915" s="10"/>
      <c r="AU915" s="10">
        <v>30</v>
      </c>
      <c r="AV915" s="10"/>
      <c r="AW915" s="10" t="s">
        <v>108</v>
      </c>
      <c r="AX915" s="10">
        <v>26</v>
      </c>
      <c r="AY915" s="10" t="s">
        <v>103</v>
      </c>
      <c r="AZ915" s="10" t="s">
        <v>109</v>
      </c>
      <c r="BA915" s="10" t="s">
        <v>138</v>
      </c>
      <c r="BB915" s="10">
        <v>31</v>
      </c>
      <c r="BC915" s="10">
        <v>33</v>
      </c>
      <c r="BD915" s="10"/>
      <c r="BE915" s="10" t="s">
        <v>139</v>
      </c>
      <c r="BF915" s="10">
        <v>30</v>
      </c>
      <c r="BG915" s="10">
        <v>0.3</v>
      </c>
      <c r="BH915" s="10"/>
      <c r="BI915" s="10"/>
      <c r="BJ915" s="10"/>
      <c r="BK915" s="10"/>
      <c r="BL915" s="10"/>
      <c r="BM915" s="10">
        <v>5.5</v>
      </c>
      <c r="BN915" s="10"/>
      <c r="BO915" s="10"/>
      <c r="BP915" s="10"/>
      <c r="BQ915" s="10"/>
      <c r="BR915" s="10" t="s">
        <v>449</v>
      </c>
      <c r="BS915" s="10" t="s">
        <v>768</v>
      </c>
      <c r="BT915" s="10"/>
      <c r="BU915" s="10" t="s">
        <v>1934</v>
      </c>
      <c r="BV915">
        <v>41.91</v>
      </c>
      <c r="BW915">
        <v>0.53888774299999997</v>
      </c>
      <c r="BX915">
        <v>6</v>
      </c>
      <c r="BY915">
        <v>42.65</v>
      </c>
      <c r="BZ915">
        <v>0.53888774299999997</v>
      </c>
      <c r="CA915">
        <v>6</v>
      </c>
      <c r="CB915" t="s">
        <v>113</v>
      </c>
      <c r="CC915" t="s">
        <v>1787</v>
      </c>
    </row>
    <row r="916" spans="1:81" x14ac:dyDescent="0.25">
      <c r="A916" s="10" t="s">
        <v>1778</v>
      </c>
      <c r="B916">
        <v>915</v>
      </c>
      <c r="C916" s="10">
        <v>20</v>
      </c>
      <c r="D916" s="10">
        <v>4</v>
      </c>
      <c r="E916" s="10">
        <v>198</v>
      </c>
      <c r="F916" s="10">
        <v>213</v>
      </c>
      <c r="G916" s="10">
        <v>514</v>
      </c>
      <c r="H916" s="10">
        <v>803</v>
      </c>
      <c r="I916" s="10" t="s">
        <v>322</v>
      </c>
      <c r="J916" s="10" t="s">
        <v>197</v>
      </c>
      <c r="K916" s="10"/>
      <c r="L916" s="10"/>
      <c r="M916" s="10" t="s">
        <v>85</v>
      </c>
      <c r="N916" s="10"/>
      <c r="O916" s="10" t="s">
        <v>14</v>
      </c>
      <c r="P916" s="10" t="s">
        <v>1926</v>
      </c>
      <c r="Q916" s="10" t="s">
        <v>1927</v>
      </c>
      <c r="R916" s="10">
        <v>2004</v>
      </c>
      <c r="S916" s="10" t="s">
        <v>146</v>
      </c>
      <c r="T916" s="10"/>
      <c r="U916" s="10" t="s">
        <v>1928</v>
      </c>
      <c r="V916" s="10" t="s">
        <v>1929</v>
      </c>
      <c r="W916" s="10" t="s">
        <v>91</v>
      </c>
      <c r="X916" s="10" t="s">
        <v>126</v>
      </c>
      <c r="Y916" s="10" t="s">
        <v>127</v>
      </c>
      <c r="Z916" s="10" t="s">
        <v>128</v>
      </c>
      <c r="AA916" s="10" t="s">
        <v>149</v>
      </c>
      <c r="AB916" s="10" t="s">
        <v>150</v>
      </c>
      <c r="AC916" s="10" t="s">
        <v>151</v>
      </c>
      <c r="AD916" s="10" t="s">
        <v>132</v>
      </c>
      <c r="AE916" s="10" t="s">
        <v>133</v>
      </c>
      <c r="AF916" s="10" t="s">
        <v>100</v>
      </c>
      <c r="AG916" s="10" t="s">
        <v>102</v>
      </c>
      <c r="AH916" s="10" t="s">
        <v>102</v>
      </c>
      <c r="AI916" s="10" t="s">
        <v>134</v>
      </c>
      <c r="AJ916" s="10" t="s">
        <v>135</v>
      </c>
      <c r="AK916" s="10"/>
      <c r="AL916" s="10"/>
      <c r="AM916" s="10" t="s">
        <v>136</v>
      </c>
      <c r="AN916" s="10" t="s">
        <v>700</v>
      </c>
      <c r="AO916" s="10"/>
      <c r="AP916" s="10"/>
      <c r="AQ916" s="10"/>
      <c r="AR916" s="10"/>
      <c r="AS916" s="10"/>
      <c r="AT916" s="10"/>
      <c r="AU916" s="10">
        <v>30</v>
      </c>
      <c r="AV916" s="10"/>
      <c r="AW916" s="10" t="s">
        <v>108</v>
      </c>
      <c r="AX916" s="10">
        <v>26</v>
      </c>
      <c r="AY916" s="10" t="s">
        <v>103</v>
      </c>
      <c r="AZ916" s="10" t="s">
        <v>109</v>
      </c>
      <c r="BA916" s="10" t="s">
        <v>138</v>
      </c>
      <c r="BB916" s="10">
        <v>33</v>
      </c>
      <c r="BC916" s="10">
        <v>36</v>
      </c>
      <c r="BD916" s="10"/>
      <c r="BE916" s="10" t="s">
        <v>139</v>
      </c>
      <c r="BF916" s="10">
        <v>30</v>
      </c>
      <c r="BG916" s="10">
        <v>0.3</v>
      </c>
      <c r="BH916" s="10"/>
      <c r="BI916" s="10"/>
      <c r="BJ916" s="10"/>
      <c r="BK916" s="10"/>
      <c r="BL916" s="10"/>
      <c r="BM916" s="10">
        <v>5.5</v>
      </c>
      <c r="BN916" s="10"/>
      <c r="BO916" s="10"/>
      <c r="BP916" s="10"/>
      <c r="BQ916" s="10"/>
      <c r="BR916" s="10" t="s">
        <v>449</v>
      </c>
      <c r="BS916" s="10" t="s">
        <v>768</v>
      </c>
      <c r="BT916" s="10"/>
      <c r="BU916" s="10" t="s">
        <v>1934</v>
      </c>
      <c r="BV916">
        <v>42.65</v>
      </c>
      <c r="BW916">
        <v>0.53888774299999997</v>
      </c>
      <c r="BX916">
        <v>6</v>
      </c>
      <c r="BY916">
        <v>42.86</v>
      </c>
      <c r="BZ916">
        <v>0.12247448700000001</v>
      </c>
      <c r="CA916">
        <v>6</v>
      </c>
      <c r="CB916" t="s">
        <v>113</v>
      </c>
      <c r="CC916" t="s">
        <v>1787</v>
      </c>
    </row>
    <row r="917" spans="1:81" x14ac:dyDescent="0.25">
      <c r="A917" s="10" t="s">
        <v>1788</v>
      </c>
      <c r="B917">
        <v>916</v>
      </c>
      <c r="C917" s="10">
        <v>20</v>
      </c>
      <c r="D917" s="10">
        <v>24</v>
      </c>
      <c r="E917" s="10">
        <v>196</v>
      </c>
      <c r="F917" s="10">
        <v>211</v>
      </c>
      <c r="G917" s="10">
        <v>515</v>
      </c>
      <c r="H917" s="10">
        <v>804</v>
      </c>
      <c r="I917" s="10" t="s">
        <v>322</v>
      </c>
      <c r="J917" s="10" t="s">
        <v>197</v>
      </c>
      <c r="K917" s="10"/>
      <c r="L917" s="10"/>
      <c r="M917" s="10" t="s">
        <v>85</v>
      </c>
      <c r="N917" s="10"/>
      <c r="O917" s="10" t="s">
        <v>14</v>
      </c>
      <c r="P917" s="10" t="s">
        <v>1926</v>
      </c>
      <c r="Q917" s="10" t="s">
        <v>1927</v>
      </c>
      <c r="R917" s="10">
        <v>2004</v>
      </c>
      <c r="S917" s="10" t="s">
        <v>146</v>
      </c>
      <c r="T917" s="10"/>
      <c r="U917" s="10" t="s">
        <v>1928</v>
      </c>
      <c r="V917" s="10" t="s">
        <v>1929</v>
      </c>
      <c r="W917" s="10" t="s">
        <v>91</v>
      </c>
      <c r="X917" s="10" t="s">
        <v>126</v>
      </c>
      <c r="Y917" s="10" t="s">
        <v>127</v>
      </c>
      <c r="Z917" s="10" t="s">
        <v>128</v>
      </c>
      <c r="AA917" s="10" t="s">
        <v>1930</v>
      </c>
      <c r="AB917" s="10" t="s">
        <v>1931</v>
      </c>
      <c r="AC917" s="10" t="s">
        <v>1932</v>
      </c>
      <c r="AD917" s="10" t="s">
        <v>132</v>
      </c>
      <c r="AE917" s="10" t="s">
        <v>133</v>
      </c>
      <c r="AF917" s="10" t="s">
        <v>100</v>
      </c>
      <c r="AG917" s="10" t="s">
        <v>102</v>
      </c>
      <c r="AH917" s="10" t="s">
        <v>102</v>
      </c>
      <c r="AI917" s="10" t="s">
        <v>134</v>
      </c>
      <c r="AJ917" s="10" t="s">
        <v>135</v>
      </c>
      <c r="AK917" s="10"/>
      <c r="AL917" s="10"/>
      <c r="AM917" s="10" t="s">
        <v>136</v>
      </c>
      <c r="AN917" s="10" t="s">
        <v>700</v>
      </c>
      <c r="AO917" s="10"/>
      <c r="AP917" s="10"/>
      <c r="AQ917" s="10"/>
      <c r="AR917" s="10"/>
      <c r="AS917" s="10"/>
      <c r="AT917" s="10"/>
      <c r="AU917" s="10">
        <v>25</v>
      </c>
      <c r="AV917" s="10"/>
      <c r="AW917" s="10" t="s">
        <v>108</v>
      </c>
      <c r="AX917" s="10">
        <v>26</v>
      </c>
      <c r="AY917" s="10" t="s">
        <v>134</v>
      </c>
      <c r="AZ917" s="10" t="s">
        <v>109</v>
      </c>
      <c r="BA917" s="10" t="s">
        <v>142</v>
      </c>
      <c r="BB917" s="10">
        <v>26</v>
      </c>
      <c r="BC917" s="10">
        <v>31</v>
      </c>
      <c r="BD917" s="10"/>
      <c r="BE917" s="10" t="s">
        <v>139</v>
      </c>
      <c r="BF917" s="10">
        <v>30</v>
      </c>
      <c r="BG917" s="10">
        <v>0.3</v>
      </c>
      <c r="BH917" s="10"/>
      <c r="BI917" s="10"/>
      <c r="BJ917" s="10"/>
      <c r="BK917" s="10"/>
      <c r="BL917" s="10"/>
      <c r="BM917" s="10">
        <v>5.5</v>
      </c>
      <c r="BN917" s="10"/>
      <c r="BO917" s="10"/>
      <c r="BP917" s="10"/>
      <c r="BQ917" s="10"/>
      <c r="BR917" s="10" t="s">
        <v>449</v>
      </c>
      <c r="BS917" s="10" t="s">
        <v>1933</v>
      </c>
      <c r="BT917" s="10"/>
      <c r="BU917" s="10" t="s">
        <v>1934</v>
      </c>
      <c r="BV917">
        <v>42.51</v>
      </c>
      <c r="BW917">
        <v>0.34292856399999999</v>
      </c>
      <c r="BX917">
        <v>6</v>
      </c>
      <c r="BY917">
        <v>42.93</v>
      </c>
      <c r="BZ917">
        <v>2.4494897000000002E-2</v>
      </c>
      <c r="CA917">
        <v>6</v>
      </c>
      <c r="CB917" t="s">
        <v>113</v>
      </c>
      <c r="CC917" t="s">
        <v>1787</v>
      </c>
    </row>
    <row r="918" spans="1:81" x14ac:dyDescent="0.25">
      <c r="A918" s="10" t="s">
        <v>1788</v>
      </c>
      <c r="B918">
        <v>917</v>
      </c>
      <c r="C918" s="10">
        <v>20</v>
      </c>
      <c r="D918" s="10">
        <v>24</v>
      </c>
      <c r="E918" s="10">
        <v>196</v>
      </c>
      <c r="F918" s="10">
        <v>211</v>
      </c>
      <c r="G918" s="10">
        <v>515</v>
      </c>
      <c r="H918" s="10">
        <v>805</v>
      </c>
      <c r="I918" s="10" t="s">
        <v>322</v>
      </c>
      <c r="J918" s="10" t="s">
        <v>197</v>
      </c>
      <c r="K918" s="10"/>
      <c r="L918" s="10"/>
      <c r="M918" s="10" t="s">
        <v>85</v>
      </c>
      <c r="N918" s="10"/>
      <c r="O918" s="10" t="s">
        <v>14</v>
      </c>
      <c r="P918" s="10" t="s">
        <v>1926</v>
      </c>
      <c r="Q918" s="10" t="s">
        <v>1927</v>
      </c>
      <c r="R918" s="10">
        <v>2004</v>
      </c>
      <c r="S918" s="10" t="s">
        <v>146</v>
      </c>
      <c r="T918" s="10"/>
      <c r="U918" s="10" t="s">
        <v>1928</v>
      </c>
      <c r="V918" s="10" t="s">
        <v>1929</v>
      </c>
      <c r="W918" s="10" t="s">
        <v>91</v>
      </c>
      <c r="X918" s="10" t="s">
        <v>126</v>
      </c>
      <c r="Y918" s="10" t="s">
        <v>127</v>
      </c>
      <c r="Z918" s="10" t="s">
        <v>128</v>
      </c>
      <c r="AA918" s="10" t="s">
        <v>1930</v>
      </c>
      <c r="AB918" s="10" t="s">
        <v>1931</v>
      </c>
      <c r="AC918" s="10" t="s">
        <v>1932</v>
      </c>
      <c r="AD918" s="10" t="s">
        <v>132</v>
      </c>
      <c r="AE918" s="10" t="s">
        <v>133</v>
      </c>
      <c r="AF918" s="10" t="s">
        <v>100</v>
      </c>
      <c r="AG918" s="10" t="s">
        <v>102</v>
      </c>
      <c r="AH918" s="10" t="s">
        <v>102</v>
      </c>
      <c r="AI918" s="10" t="s">
        <v>134</v>
      </c>
      <c r="AJ918" s="10" t="s">
        <v>135</v>
      </c>
      <c r="AK918" s="10"/>
      <c r="AL918" s="10"/>
      <c r="AM918" s="10" t="s">
        <v>136</v>
      </c>
      <c r="AN918" s="10" t="s">
        <v>700</v>
      </c>
      <c r="AO918" s="10"/>
      <c r="AP918" s="10"/>
      <c r="AQ918" s="10"/>
      <c r="AR918" s="10"/>
      <c r="AS918" s="10"/>
      <c r="AT918" s="10"/>
      <c r="AU918" s="10">
        <v>25</v>
      </c>
      <c r="AV918" s="10"/>
      <c r="AW918" s="10" t="s">
        <v>108</v>
      </c>
      <c r="AX918" s="10">
        <v>26</v>
      </c>
      <c r="AY918" s="10" t="s">
        <v>103</v>
      </c>
      <c r="AZ918" s="10" t="s">
        <v>109</v>
      </c>
      <c r="BA918" s="10" t="s">
        <v>142</v>
      </c>
      <c r="BB918" s="10">
        <v>31</v>
      </c>
      <c r="BC918" s="10">
        <v>33</v>
      </c>
      <c r="BD918" s="10"/>
      <c r="BE918" s="10" t="s">
        <v>139</v>
      </c>
      <c r="BF918" s="10">
        <v>30</v>
      </c>
      <c r="BG918" s="10">
        <v>0.3</v>
      </c>
      <c r="BH918" s="10"/>
      <c r="BI918" s="10"/>
      <c r="BJ918" s="10"/>
      <c r="BK918" s="10"/>
      <c r="BL918" s="10"/>
      <c r="BM918" s="10">
        <v>5.5</v>
      </c>
      <c r="BN918" s="10"/>
      <c r="BO918" s="10"/>
      <c r="BP918" s="10"/>
      <c r="BQ918" s="10"/>
      <c r="BR918" s="10" t="s">
        <v>449</v>
      </c>
      <c r="BS918" s="10" t="s">
        <v>768</v>
      </c>
      <c r="BT918" s="10"/>
      <c r="BU918" s="10" t="s">
        <v>1934</v>
      </c>
      <c r="BV918">
        <v>42.93</v>
      </c>
      <c r="BW918">
        <v>2.4494897000000002E-2</v>
      </c>
      <c r="BX918">
        <v>6</v>
      </c>
      <c r="BY918">
        <v>43.11</v>
      </c>
      <c r="BZ918">
        <v>0.12247448700000001</v>
      </c>
      <c r="CA918">
        <v>6</v>
      </c>
      <c r="CB918" t="s">
        <v>113</v>
      </c>
      <c r="CC918" t="s">
        <v>1787</v>
      </c>
    </row>
    <row r="919" spans="1:81" x14ac:dyDescent="0.25">
      <c r="A919" s="10" t="s">
        <v>1788</v>
      </c>
      <c r="B919">
        <v>918</v>
      </c>
      <c r="C919" s="10">
        <v>20</v>
      </c>
      <c r="D919" s="10">
        <v>24</v>
      </c>
      <c r="E919" s="10">
        <v>196</v>
      </c>
      <c r="F919" s="10">
        <v>211</v>
      </c>
      <c r="G919" s="10">
        <v>515</v>
      </c>
      <c r="H919" s="10">
        <v>806</v>
      </c>
      <c r="I919" s="10" t="s">
        <v>322</v>
      </c>
      <c r="J919" s="10" t="s">
        <v>197</v>
      </c>
      <c r="K919" s="10"/>
      <c r="L919" s="10"/>
      <c r="M919" s="10" t="s">
        <v>85</v>
      </c>
      <c r="N919" s="10"/>
      <c r="O919" s="10" t="s">
        <v>14</v>
      </c>
      <c r="P919" s="10" t="s">
        <v>1926</v>
      </c>
      <c r="Q919" s="10" t="s">
        <v>1927</v>
      </c>
      <c r="R919" s="10">
        <v>2004</v>
      </c>
      <c r="S919" s="10" t="s">
        <v>146</v>
      </c>
      <c r="T919" s="10"/>
      <c r="U919" s="10" t="s">
        <v>1928</v>
      </c>
      <c r="V919" s="10" t="s">
        <v>1929</v>
      </c>
      <c r="W919" s="10" t="s">
        <v>91</v>
      </c>
      <c r="X919" s="10" t="s">
        <v>126</v>
      </c>
      <c r="Y919" s="10" t="s">
        <v>127</v>
      </c>
      <c r="Z919" s="10" t="s">
        <v>128</v>
      </c>
      <c r="AA919" s="10" t="s">
        <v>1930</v>
      </c>
      <c r="AB919" s="10" t="s">
        <v>1931</v>
      </c>
      <c r="AC919" s="10" t="s">
        <v>1932</v>
      </c>
      <c r="AD919" s="10" t="s">
        <v>132</v>
      </c>
      <c r="AE919" s="10" t="s">
        <v>133</v>
      </c>
      <c r="AF919" s="10" t="s">
        <v>100</v>
      </c>
      <c r="AG919" s="10" t="s">
        <v>102</v>
      </c>
      <c r="AH919" s="10" t="s">
        <v>102</v>
      </c>
      <c r="AI919" s="10" t="s">
        <v>134</v>
      </c>
      <c r="AJ919" s="10" t="s">
        <v>135</v>
      </c>
      <c r="AK919" s="10"/>
      <c r="AL919" s="10"/>
      <c r="AM919" s="10" t="s">
        <v>136</v>
      </c>
      <c r="AN919" s="10" t="s">
        <v>700</v>
      </c>
      <c r="AO919" s="10"/>
      <c r="AP919" s="10"/>
      <c r="AQ919" s="10"/>
      <c r="AR919" s="10"/>
      <c r="AS919" s="10"/>
      <c r="AT919" s="10"/>
      <c r="AU919" s="10">
        <v>25</v>
      </c>
      <c r="AV919" s="10"/>
      <c r="AW919" s="10" t="s">
        <v>108</v>
      </c>
      <c r="AX919" s="10">
        <v>26</v>
      </c>
      <c r="AY919" s="10" t="s">
        <v>103</v>
      </c>
      <c r="AZ919" s="10" t="s">
        <v>109</v>
      </c>
      <c r="BA919" s="10" t="s">
        <v>142</v>
      </c>
      <c r="BB919" s="10">
        <v>33</v>
      </c>
      <c r="BC919" s="10">
        <v>36</v>
      </c>
      <c r="BD919" s="10"/>
      <c r="BE919" s="10" t="s">
        <v>139</v>
      </c>
      <c r="BF919" s="10">
        <v>30</v>
      </c>
      <c r="BG919" s="10">
        <v>0.3</v>
      </c>
      <c r="BH919" s="10"/>
      <c r="BI919" s="10"/>
      <c r="BJ919" s="10"/>
      <c r="BK919" s="10"/>
      <c r="BL919" s="10"/>
      <c r="BM919" s="10">
        <v>5.5</v>
      </c>
      <c r="BN919" s="10"/>
      <c r="BO919" s="10"/>
      <c r="BP919" s="10"/>
      <c r="BQ919" s="10"/>
      <c r="BR919" s="10" t="s">
        <v>449</v>
      </c>
      <c r="BS919" s="10" t="s">
        <v>768</v>
      </c>
      <c r="BT919" s="10"/>
      <c r="BU919" s="10" t="s">
        <v>1934</v>
      </c>
      <c r="BV919">
        <v>43.11</v>
      </c>
      <c r="BW919">
        <v>0.12247448700000001</v>
      </c>
      <c r="BX919">
        <v>6</v>
      </c>
      <c r="BY919">
        <v>43.68</v>
      </c>
      <c r="BZ919">
        <v>0.19595917900000001</v>
      </c>
      <c r="CA919">
        <v>6</v>
      </c>
      <c r="CB919" t="s">
        <v>113</v>
      </c>
      <c r="CC919" t="s">
        <v>1787</v>
      </c>
    </row>
    <row r="920" spans="1:81" x14ac:dyDescent="0.25">
      <c r="A920" s="10" t="s">
        <v>1788</v>
      </c>
      <c r="B920">
        <v>919</v>
      </c>
      <c r="C920" s="10">
        <v>20</v>
      </c>
      <c r="D920" s="10">
        <v>23</v>
      </c>
      <c r="E920" s="10">
        <v>197</v>
      </c>
      <c r="F920" s="10">
        <v>212</v>
      </c>
      <c r="G920" s="10">
        <v>516</v>
      </c>
      <c r="H920" s="10">
        <v>807</v>
      </c>
      <c r="I920" s="10" t="s">
        <v>322</v>
      </c>
      <c r="J920" s="10" t="s">
        <v>197</v>
      </c>
      <c r="K920" s="10"/>
      <c r="L920" s="10"/>
      <c r="M920" s="10" t="s">
        <v>85</v>
      </c>
      <c r="N920" s="10"/>
      <c r="O920" s="10" t="s">
        <v>14</v>
      </c>
      <c r="P920" s="10" t="s">
        <v>1926</v>
      </c>
      <c r="Q920" s="10" t="s">
        <v>1927</v>
      </c>
      <c r="R920" s="10">
        <v>2004</v>
      </c>
      <c r="S920" s="10" t="s">
        <v>146</v>
      </c>
      <c r="T920" s="10"/>
      <c r="U920" s="10" t="s">
        <v>1928</v>
      </c>
      <c r="V920" s="10" t="s">
        <v>1929</v>
      </c>
      <c r="W920" s="10" t="s">
        <v>91</v>
      </c>
      <c r="X920" s="10" t="s">
        <v>126</v>
      </c>
      <c r="Y920" s="10" t="s">
        <v>127</v>
      </c>
      <c r="Z920" s="10" t="s">
        <v>128</v>
      </c>
      <c r="AA920" s="10" t="s">
        <v>1935</v>
      </c>
      <c r="AB920" s="10" t="s">
        <v>1936</v>
      </c>
      <c r="AC920" s="10" t="s">
        <v>1937</v>
      </c>
      <c r="AD920" s="10" t="s">
        <v>132</v>
      </c>
      <c r="AE920" s="10" t="s">
        <v>133</v>
      </c>
      <c r="AF920" s="10" t="s">
        <v>100</v>
      </c>
      <c r="AG920" s="10" t="s">
        <v>102</v>
      </c>
      <c r="AH920" s="10" t="s">
        <v>102</v>
      </c>
      <c r="AI920" s="10" t="s">
        <v>134</v>
      </c>
      <c r="AJ920" s="10" t="s">
        <v>135</v>
      </c>
      <c r="AK920" s="10"/>
      <c r="AL920" s="10"/>
      <c r="AM920" s="10" t="s">
        <v>136</v>
      </c>
      <c r="AN920" s="10" t="s">
        <v>700</v>
      </c>
      <c r="AO920" s="10"/>
      <c r="AP920" s="10"/>
      <c r="AQ920" s="10"/>
      <c r="AR920" s="10"/>
      <c r="AS920" s="10"/>
      <c r="AT920" s="10"/>
      <c r="AU920" s="10">
        <v>28</v>
      </c>
      <c r="AV920" s="10"/>
      <c r="AW920" s="10" t="s">
        <v>108</v>
      </c>
      <c r="AX920" s="10">
        <v>26</v>
      </c>
      <c r="AY920" s="10" t="s">
        <v>134</v>
      </c>
      <c r="AZ920" s="10" t="s">
        <v>109</v>
      </c>
      <c r="BA920" s="10" t="s">
        <v>142</v>
      </c>
      <c r="BB920" s="10">
        <v>26</v>
      </c>
      <c r="BC920" s="10">
        <v>31</v>
      </c>
      <c r="BD920" s="10"/>
      <c r="BE920" s="10" t="s">
        <v>139</v>
      </c>
      <c r="BF920" s="10">
        <v>30</v>
      </c>
      <c r="BG920" s="10">
        <v>0.3</v>
      </c>
      <c r="BH920" s="10"/>
      <c r="BI920" s="10"/>
      <c r="BJ920" s="10"/>
      <c r="BK920" s="10"/>
      <c r="BL920" s="10"/>
      <c r="BM920" s="10">
        <v>5.5</v>
      </c>
      <c r="BN920" s="10"/>
      <c r="BO920" s="10"/>
      <c r="BP920" s="10"/>
      <c r="BQ920" s="10"/>
      <c r="BR920" s="10" t="s">
        <v>449</v>
      </c>
      <c r="BS920" s="10" t="s">
        <v>1933</v>
      </c>
      <c r="BT920" s="10"/>
      <c r="BU920" s="10" t="s">
        <v>1934</v>
      </c>
      <c r="BV920">
        <v>41.03</v>
      </c>
      <c r="BW920">
        <v>0.93080610200000002</v>
      </c>
      <c r="BX920">
        <v>6</v>
      </c>
      <c r="BY920">
        <v>41.7</v>
      </c>
      <c r="BZ920">
        <v>0.93080610200000002</v>
      </c>
      <c r="CA920">
        <v>6</v>
      </c>
      <c r="CB920" t="s">
        <v>113</v>
      </c>
      <c r="CC920" t="s">
        <v>1787</v>
      </c>
    </row>
    <row r="921" spans="1:81" x14ac:dyDescent="0.25">
      <c r="A921" s="10" t="s">
        <v>1788</v>
      </c>
      <c r="B921">
        <v>920</v>
      </c>
      <c r="C921" s="10">
        <v>20</v>
      </c>
      <c r="D921" s="10">
        <v>23</v>
      </c>
      <c r="E921" s="10">
        <v>197</v>
      </c>
      <c r="F921" s="10">
        <v>212</v>
      </c>
      <c r="G921" s="10">
        <v>516</v>
      </c>
      <c r="H921" s="10">
        <v>808</v>
      </c>
      <c r="I921" s="10" t="s">
        <v>322</v>
      </c>
      <c r="J921" s="10" t="s">
        <v>197</v>
      </c>
      <c r="K921" s="10"/>
      <c r="L921" s="10"/>
      <c r="M921" s="10" t="s">
        <v>85</v>
      </c>
      <c r="N921" s="10"/>
      <c r="O921" s="10" t="s">
        <v>14</v>
      </c>
      <c r="P921" s="10" t="s">
        <v>1926</v>
      </c>
      <c r="Q921" s="10" t="s">
        <v>1927</v>
      </c>
      <c r="R921" s="10">
        <v>2004</v>
      </c>
      <c r="S921" s="10" t="s">
        <v>146</v>
      </c>
      <c r="T921" s="10"/>
      <c r="U921" s="10" t="s">
        <v>1928</v>
      </c>
      <c r="V921" s="10" t="s">
        <v>1929</v>
      </c>
      <c r="W921" s="10" t="s">
        <v>91</v>
      </c>
      <c r="X921" s="10" t="s">
        <v>126</v>
      </c>
      <c r="Y921" s="10" t="s">
        <v>127</v>
      </c>
      <c r="Z921" s="10" t="s">
        <v>128</v>
      </c>
      <c r="AA921" s="10" t="s">
        <v>1935</v>
      </c>
      <c r="AB921" s="10" t="s">
        <v>1936</v>
      </c>
      <c r="AC921" s="10" t="s">
        <v>1937</v>
      </c>
      <c r="AD921" s="10" t="s">
        <v>132</v>
      </c>
      <c r="AE921" s="10" t="s">
        <v>133</v>
      </c>
      <c r="AF921" s="10" t="s">
        <v>100</v>
      </c>
      <c r="AG921" s="10" t="s">
        <v>102</v>
      </c>
      <c r="AH921" s="10" t="s">
        <v>102</v>
      </c>
      <c r="AI921" s="10" t="s">
        <v>134</v>
      </c>
      <c r="AJ921" s="10" t="s">
        <v>135</v>
      </c>
      <c r="AK921" s="10"/>
      <c r="AL921" s="10"/>
      <c r="AM921" s="10" t="s">
        <v>136</v>
      </c>
      <c r="AN921" s="10" t="s">
        <v>700</v>
      </c>
      <c r="AO921" s="10"/>
      <c r="AP921" s="10"/>
      <c r="AQ921" s="10"/>
      <c r="AR921" s="10"/>
      <c r="AS921" s="10"/>
      <c r="AT921" s="10"/>
      <c r="AU921" s="10">
        <v>28</v>
      </c>
      <c r="AV921" s="10"/>
      <c r="AW921" s="10" t="s">
        <v>108</v>
      </c>
      <c r="AX921" s="10">
        <v>26</v>
      </c>
      <c r="AY921" s="10" t="s">
        <v>103</v>
      </c>
      <c r="AZ921" s="10" t="s">
        <v>109</v>
      </c>
      <c r="BA921" s="10" t="s">
        <v>142</v>
      </c>
      <c r="BB921" s="10">
        <v>31</v>
      </c>
      <c r="BC921" s="10">
        <v>33</v>
      </c>
      <c r="BD921" s="10"/>
      <c r="BE921" s="10" t="s">
        <v>139</v>
      </c>
      <c r="BF921" s="10">
        <v>30</v>
      </c>
      <c r="BG921" s="10">
        <v>0.3</v>
      </c>
      <c r="BH921" s="10"/>
      <c r="BI921" s="10"/>
      <c r="BJ921" s="10"/>
      <c r="BK921" s="10"/>
      <c r="BL921" s="10"/>
      <c r="BM921" s="10">
        <v>5.5</v>
      </c>
      <c r="BN921" s="10"/>
      <c r="BO921" s="10"/>
      <c r="BP921" s="10"/>
      <c r="BQ921" s="10"/>
      <c r="BR921" s="10" t="s">
        <v>449</v>
      </c>
      <c r="BS921" s="10" t="s">
        <v>768</v>
      </c>
      <c r="BT921" s="10"/>
      <c r="BU921" s="10" t="s">
        <v>1934</v>
      </c>
      <c r="BV921">
        <v>41.7</v>
      </c>
      <c r="BW921">
        <v>0.93080610200000002</v>
      </c>
      <c r="BX921">
        <v>6</v>
      </c>
      <c r="BY921">
        <v>42.96</v>
      </c>
      <c r="BZ921">
        <v>4.8989795000000003E-2</v>
      </c>
      <c r="CA921">
        <v>6</v>
      </c>
      <c r="CB921" t="s">
        <v>113</v>
      </c>
      <c r="CC921" t="s">
        <v>1787</v>
      </c>
    </row>
    <row r="922" spans="1:81" x14ac:dyDescent="0.25">
      <c r="A922" s="10" t="s">
        <v>1788</v>
      </c>
      <c r="B922">
        <v>921</v>
      </c>
      <c r="C922" s="10">
        <v>20</v>
      </c>
      <c r="D922" s="10">
        <v>23</v>
      </c>
      <c r="E922" s="10">
        <v>197</v>
      </c>
      <c r="F922" s="10">
        <v>212</v>
      </c>
      <c r="G922" s="10">
        <v>516</v>
      </c>
      <c r="H922" s="10">
        <v>809</v>
      </c>
      <c r="I922" s="10" t="s">
        <v>322</v>
      </c>
      <c r="J922" s="10" t="s">
        <v>197</v>
      </c>
      <c r="K922" s="10"/>
      <c r="L922" s="10"/>
      <c r="M922" s="10" t="s">
        <v>85</v>
      </c>
      <c r="N922" s="10"/>
      <c r="O922" s="10" t="s">
        <v>14</v>
      </c>
      <c r="P922" s="10" t="s">
        <v>1926</v>
      </c>
      <c r="Q922" s="10" t="s">
        <v>1927</v>
      </c>
      <c r="R922" s="10">
        <v>2004</v>
      </c>
      <c r="S922" s="10" t="s">
        <v>146</v>
      </c>
      <c r="T922" s="10"/>
      <c r="U922" s="10" t="s">
        <v>1928</v>
      </c>
      <c r="V922" s="10" t="s">
        <v>1929</v>
      </c>
      <c r="W922" s="10" t="s">
        <v>91</v>
      </c>
      <c r="X922" s="10" t="s">
        <v>126</v>
      </c>
      <c r="Y922" s="10" t="s">
        <v>127</v>
      </c>
      <c r="Z922" s="10" t="s">
        <v>128</v>
      </c>
      <c r="AA922" s="10" t="s">
        <v>1935</v>
      </c>
      <c r="AB922" s="10" t="s">
        <v>1936</v>
      </c>
      <c r="AC922" s="10" t="s">
        <v>1937</v>
      </c>
      <c r="AD922" s="10" t="s">
        <v>132</v>
      </c>
      <c r="AE922" s="10" t="s">
        <v>133</v>
      </c>
      <c r="AF922" s="10" t="s">
        <v>100</v>
      </c>
      <c r="AG922" s="10" t="s">
        <v>102</v>
      </c>
      <c r="AH922" s="10" t="s">
        <v>102</v>
      </c>
      <c r="AI922" s="10" t="s">
        <v>134</v>
      </c>
      <c r="AJ922" s="10" t="s">
        <v>135</v>
      </c>
      <c r="AK922" s="10"/>
      <c r="AL922" s="10"/>
      <c r="AM922" s="10" t="s">
        <v>136</v>
      </c>
      <c r="AN922" s="10" t="s">
        <v>700</v>
      </c>
      <c r="AO922" s="10"/>
      <c r="AP922" s="10"/>
      <c r="AQ922" s="10"/>
      <c r="AR922" s="10"/>
      <c r="AS922" s="10"/>
      <c r="AT922" s="10"/>
      <c r="AU922" s="10">
        <v>28</v>
      </c>
      <c r="AV922" s="10"/>
      <c r="AW922" s="10" t="s">
        <v>108</v>
      </c>
      <c r="AX922" s="10">
        <v>26</v>
      </c>
      <c r="AY922" s="10" t="s">
        <v>103</v>
      </c>
      <c r="AZ922" s="10" t="s">
        <v>109</v>
      </c>
      <c r="BA922" s="10" t="s">
        <v>142</v>
      </c>
      <c r="BB922" s="10">
        <v>33</v>
      </c>
      <c r="BC922" s="10">
        <v>36</v>
      </c>
      <c r="BD922" s="10"/>
      <c r="BE922" s="10" t="s">
        <v>139</v>
      </c>
      <c r="BF922" s="10">
        <v>30</v>
      </c>
      <c r="BG922" s="10">
        <v>0.3</v>
      </c>
      <c r="BH922" s="10"/>
      <c r="BI922" s="10"/>
      <c r="BJ922" s="10"/>
      <c r="BK922" s="10"/>
      <c r="BL922" s="10"/>
      <c r="BM922" s="10">
        <v>5.5</v>
      </c>
      <c r="BN922" s="10"/>
      <c r="BO922" s="10"/>
      <c r="BP922" s="10"/>
      <c r="BQ922" s="10"/>
      <c r="BR922" s="10" t="s">
        <v>449</v>
      </c>
      <c r="BS922" s="10" t="s">
        <v>768</v>
      </c>
      <c r="BT922" s="10"/>
      <c r="BU922" s="10" t="s">
        <v>1934</v>
      </c>
      <c r="BV922">
        <v>42.96</v>
      </c>
      <c r="BW922">
        <v>4.8989795000000003E-2</v>
      </c>
      <c r="BX922">
        <v>6</v>
      </c>
      <c r="BY922">
        <v>43.06</v>
      </c>
      <c r="BZ922">
        <v>0.14696938500000001</v>
      </c>
      <c r="CA922">
        <v>6</v>
      </c>
      <c r="CB922" t="s">
        <v>113</v>
      </c>
      <c r="CC922" t="s">
        <v>1787</v>
      </c>
    </row>
    <row r="923" spans="1:81" x14ac:dyDescent="0.25">
      <c r="A923" s="10" t="s">
        <v>1788</v>
      </c>
      <c r="B923">
        <v>922</v>
      </c>
      <c r="C923" s="10">
        <v>20</v>
      </c>
      <c r="D923" s="10">
        <v>4</v>
      </c>
      <c r="E923" s="10">
        <v>198</v>
      </c>
      <c r="F923" s="10">
        <v>213</v>
      </c>
      <c r="G923" s="10">
        <v>517</v>
      </c>
      <c r="H923" s="10">
        <v>810</v>
      </c>
      <c r="I923" s="10" t="s">
        <v>322</v>
      </c>
      <c r="J923" s="10" t="s">
        <v>197</v>
      </c>
      <c r="K923" s="10"/>
      <c r="L923" s="10"/>
      <c r="M923" s="10" t="s">
        <v>85</v>
      </c>
      <c r="N923" s="10"/>
      <c r="O923" s="10" t="s">
        <v>14</v>
      </c>
      <c r="P923" s="10" t="s">
        <v>1926</v>
      </c>
      <c r="Q923" s="10" t="s">
        <v>1927</v>
      </c>
      <c r="R923" s="10">
        <v>2004</v>
      </c>
      <c r="S923" s="10" t="s">
        <v>146</v>
      </c>
      <c r="T923" s="10"/>
      <c r="U923" s="10" t="s">
        <v>1928</v>
      </c>
      <c r="V923" s="10" t="s">
        <v>1929</v>
      </c>
      <c r="W923" s="10" t="s">
        <v>91</v>
      </c>
      <c r="X923" s="10" t="s">
        <v>126</v>
      </c>
      <c r="Y923" s="10" t="s">
        <v>127</v>
      </c>
      <c r="Z923" s="10" t="s">
        <v>128</v>
      </c>
      <c r="AA923" s="10" t="s">
        <v>149</v>
      </c>
      <c r="AB923" s="10" t="s">
        <v>150</v>
      </c>
      <c r="AC923" s="10" t="s">
        <v>151</v>
      </c>
      <c r="AD923" s="10" t="s">
        <v>132</v>
      </c>
      <c r="AE923" s="10" t="s">
        <v>133</v>
      </c>
      <c r="AF923" s="10" t="s">
        <v>100</v>
      </c>
      <c r="AG923" s="10" t="s">
        <v>102</v>
      </c>
      <c r="AH923" s="10" t="s">
        <v>102</v>
      </c>
      <c r="AI923" s="10" t="s">
        <v>134</v>
      </c>
      <c r="AJ923" s="10" t="s">
        <v>135</v>
      </c>
      <c r="AK923" s="10"/>
      <c r="AL923" s="10"/>
      <c r="AM923" s="10" t="s">
        <v>136</v>
      </c>
      <c r="AN923" s="10" t="s">
        <v>700</v>
      </c>
      <c r="AO923" s="10"/>
      <c r="AP923" s="10"/>
      <c r="AQ923" s="10"/>
      <c r="AR923" s="10"/>
      <c r="AS923" s="10"/>
      <c r="AT923" s="10"/>
      <c r="AU923" s="10">
        <v>30</v>
      </c>
      <c r="AV923" s="10"/>
      <c r="AW923" s="10" t="s">
        <v>108</v>
      </c>
      <c r="AX923" s="10">
        <v>26</v>
      </c>
      <c r="AY923" s="10" t="s">
        <v>134</v>
      </c>
      <c r="AZ923" s="10" t="s">
        <v>109</v>
      </c>
      <c r="BA923" s="10" t="s">
        <v>142</v>
      </c>
      <c r="BB923" s="10">
        <v>26</v>
      </c>
      <c r="BC923" s="10">
        <v>31</v>
      </c>
      <c r="BD923" s="10"/>
      <c r="BE923" s="10" t="s">
        <v>139</v>
      </c>
      <c r="BF923" s="10">
        <v>30</v>
      </c>
      <c r="BG923" s="10">
        <v>0.3</v>
      </c>
      <c r="BH923" s="10"/>
      <c r="BI923" s="10"/>
      <c r="BJ923" s="10"/>
      <c r="BK923" s="10"/>
      <c r="BL923" s="10"/>
      <c r="BM923" s="10">
        <v>5.5</v>
      </c>
      <c r="BN923" s="10"/>
      <c r="BO923" s="10"/>
      <c r="BP923" s="10"/>
      <c r="BQ923" s="10"/>
      <c r="BR923" s="10" t="s">
        <v>449</v>
      </c>
      <c r="BS923" s="10" t="s">
        <v>1933</v>
      </c>
      <c r="BT923" s="10"/>
      <c r="BU923" s="10" t="s">
        <v>1934</v>
      </c>
      <c r="BV923">
        <v>41.16</v>
      </c>
      <c r="BW923">
        <v>0.41641325600000001</v>
      </c>
      <c r="BX923">
        <v>6</v>
      </c>
      <c r="BY923">
        <v>42.3</v>
      </c>
      <c r="BZ923">
        <v>0.53888774299999997</v>
      </c>
      <c r="CA923">
        <v>6</v>
      </c>
      <c r="CB923" t="s">
        <v>113</v>
      </c>
      <c r="CC923" t="s">
        <v>1787</v>
      </c>
    </row>
    <row r="924" spans="1:81" x14ac:dyDescent="0.25">
      <c r="A924" s="10" t="s">
        <v>1788</v>
      </c>
      <c r="B924">
        <v>923</v>
      </c>
      <c r="C924" s="10">
        <v>20</v>
      </c>
      <c r="D924" s="10">
        <v>4</v>
      </c>
      <c r="E924" s="10">
        <v>198</v>
      </c>
      <c r="F924" s="10">
        <v>213</v>
      </c>
      <c r="G924" s="10">
        <v>517</v>
      </c>
      <c r="H924" s="10">
        <v>811</v>
      </c>
      <c r="I924" s="10" t="s">
        <v>322</v>
      </c>
      <c r="J924" s="10" t="s">
        <v>197</v>
      </c>
      <c r="K924" s="10"/>
      <c r="L924" s="10"/>
      <c r="M924" s="10" t="s">
        <v>85</v>
      </c>
      <c r="N924" s="10"/>
      <c r="O924" s="10" t="s">
        <v>14</v>
      </c>
      <c r="P924" s="10" t="s">
        <v>1926</v>
      </c>
      <c r="Q924" s="10" t="s">
        <v>1927</v>
      </c>
      <c r="R924" s="10">
        <v>2004</v>
      </c>
      <c r="S924" s="10" t="s">
        <v>146</v>
      </c>
      <c r="T924" s="10"/>
      <c r="U924" s="10" t="s">
        <v>1928</v>
      </c>
      <c r="V924" s="10" t="s">
        <v>1929</v>
      </c>
      <c r="W924" s="10" t="s">
        <v>91</v>
      </c>
      <c r="X924" s="10" t="s">
        <v>126</v>
      </c>
      <c r="Y924" s="10" t="s">
        <v>127</v>
      </c>
      <c r="Z924" s="10" t="s">
        <v>128</v>
      </c>
      <c r="AA924" s="10" t="s">
        <v>149</v>
      </c>
      <c r="AB924" s="10" t="s">
        <v>150</v>
      </c>
      <c r="AC924" s="10" t="s">
        <v>151</v>
      </c>
      <c r="AD924" s="10" t="s">
        <v>132</v>
      </c>
      <c r="AE924" s="10" t="s">
        <v>133</v>
      </c>
      <c r="AF924" s="10" t="s">
        <v>100</v>
      </c>
      <c r="AG924" s="10" t="s">
        <v>102</v>
      </c>
      <c r="AH924" s="10" t="s">
        <v>102</v>
      </c>
      <c r="AI924" s="10" t="s">
        <v>134</v>
      </c>
      <c r="AJ924" s="10" t="s">
        <v>135</v>
      </c>
      <c r="AK924" s="10"/>
      <c r="AL924" s="10"/>
      <c r="AM924" s="10" t="s">
        <v>136</v>
      </c>
      <c r="AN924" s="10" t="s">
        <v>700</v>
      </c>
      <c r="AO924" s="10"/>
      <c r="AP924" s="10"/>
      <c r="AQ924" s="10"/>
      <c r="AR924" s="10"/>
      <c r="AS924" s="10"/>
      <c r="AT924" s="10"/>
      <c r="AU924" s="10">
        <v>30</v>
      </c>
      <c r="AV924" s="10"/>
      <c r="AW924" s="10" t="s">
        <v>108</v>
      </c>
      <c r="AX924" s="10">
        <v>26</v>
      </c>
      <c r="AY924" s="10" t="s">
        <v>103</v>
      </c>
      <c r="AZ924" s="10" t="s">
        <v>109</v>
      </c>
      <c r="BA924" s="10" t="s">
        <v>142</v>
      </c>
      <c r="BB924" s="10">
        <v>31</v>
      </c>
      <c r="BC924" s="10">
        <v>33</v>
      </c>
      <c r="BD924" s="10"/>
      <c r="BE924" s="10" t="s">
        <v>139</v>
      </c>
      <c r="BF924" s="10">
        <v>30</v>
      </c>
      <c r="BG924" s="10">
        <v>0.3</v>
      </c>
      <c r="BH924" s="10"/>
      <c r="BI924" s="10"/>
      <c r="BJ924" s="10"/>
      <c r="BK924" s="10"/>
      <c r="BL924" s="10"/>
      <c r="BM924" s="10">
        <v>5.5</v>
      </c>
      <c r="BN924" s="10"/>
      <c r="BO924" s="10"/>
      <c r="BP924" s="10"/>
      <c r="BQ924" s="10"/>
      <c r="BR924" s="10" t="s">
        <v>449</v>
      </c>
      <c r="BS924" s="10" t="s">
        <v>768</v>
      </c>
      <c r="BT924" s="10"/>
      <c r="BU924" s="10" t="s">
        <v>1934</v>
      </c>
      <c r="BV924">
        <v>42.3</v>
      </c>
      <c r="BW924">
        <v>0.53888774299999997</v>
      </c>
      <c r="BX924">
        <v>6</v>
      </c>
      <c r="BY924">
        <v>43.06</v>
      </c>
      <c r="BZ924">
        <v>2.4494897000000002E-2</v>
      </c>
      <c r="CA924">
        <v>6</v>
      </c>
      <c r="CB924" t="s">
        <v>113</v>
      </c>
      <c r="CC924" t="s">
        <v>1787</v>
      </c>
    </row>
    <row r="925" spans="1:81" x14ac:dyDescent="0.25">
      <c r="A925" s="10" t="s">
        <v>1788</v>
      </c>
      <c r="B925">
        <v>924</v>
      </c>
      <c r="C925" s="10">
        <v>20</v>
      </c>
      <c r="D925" s="10">
        <v>4</v>
      </c>
      <c r="E925" s="10">
        <v>198</v>
      </c>
      <c r="F925" s="10">
        <v>213</v>
      </c>
      <c r="G925" s="10">
        <v>517</v>
      </c>
      <c r="H925" s="10">
        <v>812</v>
      </c>
      <c r="I925" s="10" t="s">
        <v>322</v>
      </c>
      <c r="J925" s="10" t="s">
        <v>197</v>
      </c>
      <c r="K925" s="10"/>
      <c r="L925" s="10"/>
      <c r="M925" s="10" t="s">
        <v>85</v>
      </c>
      <c r="N925" s="10"/>
      <c r="O925" s="10" t="s">
        <v>14</v>
      </c>
      <c r="P925" s="10" t="s">
        <v>1926</v>
      </c>
      <c r="Q925" s="10" t="s">
        <v>1927</v>
      </c>
      <c r="R925" s="10">
        <v>2004</v>
      </c>
      <c r="S925" s="10" t="s">
        <v>146</v>
      </c>
      <c r="T925" s="10"/>
      <c r="U925" s="10" t="s">
        <v>1928</v>
      </c>
      <c r="V925" s="10" t="s">
        <v>1929</v>
      </c>
      <c r="W925" s="10" t="s">
        <v>91</v>
      </c>
      <c r="X925" s="10" t="s">
        <v>126</v>
      </c>
      <c r="Y925" s="10" t="s">
        <v>127</v>
      </c>
      <c r="Z925" s="10" t="s">
        <v>128</v>
      </c>
      <c r="AA925" s="10" t="s">
        <v>149</v>
      </c>
      <c r="AB925" s="10" t="s">
        <v>150</v>
      </c>
      <c r="AC925" s="10" t="s">
        <v>151</v>
      </c>
      <c r="AD925" s="10" t="s">
        <v>132</v>
      </c>
      <c r="AE925" s="10" t="s">
        <v>133</v>
      </c>
      <c r="AF925" s="10" t="s">
        <v>100</v>
      </c>
      <c r="AG925" s="10" t="s">
        <v>102</v>
      </c>
      <c r="AH925" s="10" t="s">
        <v>102</v>
      </c>
      <c r="AI925" s="10" t="s">
        <v>134</v>
      </c>
      <c r="AJ925" s="10" t="s">
        <v>135</v>
      </c>
      <c r="AK925" s="10"/>
      <c r="AL925" s="10"/>
      <c r="AM925" s="10" t="s">
        <v>136</v>
      </c>
      <c r="AN925" s="10" t="s">
        <v>700</v>
      </c>
      <c r="AO925" s="10"/>
      <c r="AP925" s="10"/>
      <c r="AQ925" s="10"/>
      <c r="AR925" s="10"/>
      <c r="AS925" s="10"/>
      <c r="AT925" s="10"/>
      <c r="AU925" s="10">
        <v>30</v>
      </c>
      <c r="AV925" s="10"/>
      <c r="AW925" s="10" t="s">
        <v>108</v>
      </c>
      <c r="AX925" s="10">
        <v>26</v>
      </c>
      <c r="AY925" s="10" t="s">
        <v>103</v>
      </c>
      <c r="AZ925" s="10" t="s">
        <v>109</v>
      </c>
      <c r="BA925" s="10" t="s">
        <v>142</v>
      </c>
      <c r="BB925" s="10">
        <v>33</v>
      </c>
      <c r="BC925" s="10">
        <v>36</v>
      </c>
      <c r="BD925" s="10"/>
      <c r="BE925" s="10" t="s">
        <v>139</v>
      </c>
      <c r="BF925" s="10">
        <v>30</v>
      </c>
      <c r="BG925" s="10">
        <v>0.3</v>
      </c>
      <c r="BH925" s="10"/>
      <c r="BI925" s="10"/>
      <c r="BJ925" s="10"/>
      <c r="BK925" s="10"/>
      <c r="BL925" s="10"/>
      <c r="BM925" s="10">
        <v>5.5</v>
      </c>
      <c r="BN925" s="10"/>
      <c r="BO925" s="10"/>
      <c r="BP925" s="10"/>
      <c r="BQ925" s="10"/>
      <c r="BR925" s="10" t="s">
        <v>449</v>
      </c>
      <c r="BS925" s="10" t="s">
        <v>768</v>
      </c>
      <c r="BT925" s="10"/>
      <c r="BU925" s="10" t="s">
        <v>1934</v>
      </c>
      <c r="BV925">
        <v>43.06</v>
      </c>
      <c r="BW925">
        <v>2.4494897000000002E-2</v>
      </c>
      <c r="BX925">
        <v>6</v>
      </c>
      <c r="BY925">
        <v>43.31</v>
      </c>
      <c r="BZ925">
        <v>0.12247448700000001</v>
      </c>
      <c r="CA925">
        <v>6</v>
      </c>
      <c r="CB925" t="s">
        <v>113</v>
      </c>
      <c r="CC925" t="s">
        <v>1787</v>
      </c>
    </row>
    <row r="926" spans="1:81" x14ac:dyDescent="0.25">
      <c r="A926" s="10" t="s">
        <v>1778</v>
      </c>
      <c r="B926">
        <v>925</v>
      </c>
      <c r="C926" s="10">
        <v>18</v>
      </c>
      <c r="D926" s="10">
        <v>20</v>
      </c>
      <c r="E926" s="10">
        <v>199</v>
      </c>
      <c r="F926" s="10">
        <v>214</v>
      </c>
      <c r="G926" s="10">
        <v>518</v>
      </c>
      <c r="H926" s="10">
        <v>813</v>
      </c>
      <c r="I926" s="10" t="s">
        <v>322</v>
      </c>
      <c r="J926" s="10" t="s">
        <v>143</v>
      </c>
      <c r="K926" s="10"/>
      <c r="L926" s="10"/>
      <c r="M926" s="10" t="s">
        <v>85</v>
      </c>
      <c r="N926" s="10"/>
      <c r="O926" s="10" t="s">
        <v>14</v>
      </c>
      <c r="P926" s="10" t="s">
        <v>1938</v>
      </c>
      <c r="Q926" s="10" t="s">
        <v>1939</v>
      </c>
      <c r="R926" s="10">
        <v>1998</v>
      </c>
      <c r="S926" s="10" t="s">
        <v>188</v>
      </c>
      <c r="T926" s="10"/>
      <c r="U926" s="10" t="s">
        <v>1940</v>
      </c>
      <c r="V926" s="10" t="s">
        <v>1941</v>
      </c>
      <c r="W926" s="10" t="s">
        <v>91</v>
      </c>
      <c r="X926" s="10" t="s">
        <v>126</v>
      </c>
      <c r="Y926" s="10" t="s">
        <v>1914</v>
      </c>
      <c r="Z926" s="10" t="s">
        <v>1942</v>
      </c>
      <c r="AA926" s="10" t="s">
        <v>1943</v>
      </c>
      <c r="AB926" s="10" t="s">
        <v>1944</v>
      </c>
      <c r="AC926" s="10" t="s">
        <v>1945</v>
      </c>
      <c r="AD926" s="10" t="s">
        <v>132</v>
      </c>
      <c r="AE926" s="10" t="s">
        <v>133</v>
      </c>
      <c r="AF926" s="10" t="s">
        <v>100</v>
      </c>
      <c r="AG926" s="10" t="s">
        <v>102</v>
      </c>
      <c r="AH926" s="10" t="s">
        <v>102</v>
      </c>
      <c r="AI926" s="10" t="s">
        <v>134</v>
      </c>
      <c r="AJ926" s="10" t="s">
        <v>135</v>
      </c>
      <c r="AK926" s="10"/>
      <c r="AL926" s="10"/>
      <c r="AM926" s="10" t="s">
        <v>136</v>
      </c>
      <c r="AN926" s="10" t="s">
        <v>700</v>
      </c>
      <c r="AO926" s="10"/>
      <c r="AP926" s="10"/>
      <c r="AQ926" s="10"/>
      <c r="AR926" s="10"/>
      <c r="AS926" s="10"/>
      <c r="AT926" s="10">
        <v>100</v>
      </c>
      <c r="AU926" s="10">
        <v>15</v>
      </c>
      <c r="AV926" s="10"/>
      <c r="AW926" s="10" t="s">
        <v>108</v>
      </c>
      <c r="AX926" s="10"/>
      <c r="AY926" s="10"/>
      <c r="AZ926" s="10" t="s">
        <v>109</v>
      </c>
      <c r="BA926" s="10" t="s">
        <v>138</v>
      </c>
      <c r="BB926" s="10">
        <v>20</v>
      </c>
      <c r="BC926" s="10">
        <v>25</v>
      </c>
      <c r="BD926" s="10">
        <v>0.1</v>
      </c>
      <c r="BE926" s="10" t="s">
        <v>139</v>
      </c>
      <c r="BF926" s="10">
        <v>20</v>
      </c>
      <c r="BG926" s="10">
        <v>0.3</v>
      </c>
      <c r="BH926" s="10"/>
      <c r="BI926" s="10"/>
      <c r="BJ926" s="10"/>
      <c r="BK926" s="10"/>
      <c r="BL926" s="10"/>
      <c r="BM926" s="10"/>
      <c r="BN926" s="10"/>
      <c r="BO926" s="10"/>
      <c r="BP926" s="10">
        <v>12</v>
      </c>
      <c r="BQ926" s="10"/>
      <c r="BR926" s="10" t="s">
        <v>449</v>
      </c>
      <c r="BS926" s="10" t="s">
        <v>1946</v>
      </c>
      <c r="BT926" s="10"/>
      <c r="BU926" s="10" t="s">
        <v>1947</v>
      </c>
      <c r="BV926">
        <v>36.4</v>
      </c>
      <c r="BW926">
        <v>0.25</v>
      </c>
      <c r="BX926">
        <v>10</v>
      </c>
      <c r="BY926">
        <v>38.700000000000003</v>
      </c>
      <c r="BZ926">
        <v>0.36</v>
      </c>
      <c r="CA926">
        <v>10</v>
      </c>
      <c r="CB926" t="s">
        <v>113</v>
      </c>
      <c r="CC926" t="s">
        <v>1889</v>
      </c>
    </row>
    <row r="927" spans="1:81" x14ac:dyDescent="0.25">
      <c r="A927" s="10" t="s">
        <v>1778</v>
      </c>
      <c r="B927">
        <v>926</v>
      </c>
      <c r="C927" s="10">
        <v>18</v>
      </c>
      <c r="D927" s="10">
        <v>20</v>
      </c>
      <c r="E927" s="10">
        <v>199</v>
      </c>
      <c r="F927" s="10">
        <v>214</v>
      </c>
      <c r="G927" s="10">
        <v>518</v>
      </c>
      <c r="H927" s="10">
        <v>814</v>
      </c>
      <c r="I927" s="10" t="s">
        <v>322</v>
      </c>
      <c r="J927" s="10" t="s">
        <v>143</v>
      </c>
      <c r="K927" s="10"/>
      <c r="L927" s="10"/>
      <c r="M927" s="10" t="s">
        <v>85</v>
      </c>
      <c r="N927" s="10"/>
      <c r="O927" s="10" t="s">
        <v>14</v>
      </c>
      <c r="P927" s="10" t="s">
        <v>1938</v>
      </c>
      <c r="Q927" s="10" t="s">
        <v>1939</v>
      </c>
      <c r="R927" s="10">
        <v>1998</v>
      </c>
      <c r="S927" s="10" t="s">
        <v>188</v>
      </c>
      <c r="T927" s="10"/>
      <c r="U927" s="10" t="s">
        <v>1940</v>
      </c>
      <c r="V927" s="10" t="s">
        <v>1941</v>
      </c>
      <c r="W927" s="10" t="s">
        <v>91</v>
      </c>
      <c r="X927" s="10" t="s">
        <v>126</v>
      </c>
      <c r="Y927" s="10" t="s">
        <v>1914</v>
      </c>
      <c r="Z927" s="10" t="s">
        <v>1942</v>
      </c>
      <c r="AA927" s="10" t="s">
        <v>1943</v>
      </c>
      <c r="AB927" s="10" t="s">
        <v>1944</v>
      </c>
      <c r="AC927" s="10" t="s">
        <v>1945</v>
      </c>
      <c r="AD927" s="10" t="s">
        <v>132</v>
      </c>
      <c r="AE927" s="10" t="s">
        <v>133</v>
      </c>
      <c r="AF927" s="10" t="s">
        <v>100</v>
      </c>
      <c r="AG927" s="10" t="s">
        <v>102</v>
      </c>
      <c r="AH927" s="10" t="s">
        <v>102</v>
      </c>
      <c r="AI927" s="10" t="s">
        <v>134</v>
      </c>
      <c r="AJ927" s="10" t="s">
        <v>135</v>
      </c>
      <c r="AK927" s="10"/>
      <c r="AL927" s="10"/>
      <c r="AM927" s="10" t="s">
        <v>136</v>
      </c>
      <c r="AN927" s="10" t="s">
        <v>700</v>
      </c>
      <c r="AO927" s="10"/>
      <c r="AP927" s="10"/>
      <c r="AQ927" s="10"/>
      <c r="AR927" s="10"/>
      <c r="AS927" s="10"/>
      <c r="AT927" s="10">
        <v>100</v>
      </c>
      <c r="AU927" s="10">
        <v>15</v>
      </c>
      <c r="AV927" s="10"/>
      <c r="AW927" s="10" t="s">
        <v>108</v>
      </c>
      <c r="AX927" s="10"/>
      <c r="AY927" s="10"/>
      <c r="AZ927" s="10" t="s">
        <v>109</v>
      </c>
      <c r="BA927" s="10" t="s">
        <v>138</v>
      </c>
      <c r="BB927" s="10">
        <v>25</v>
      </c>
      <c r="BC927" s="10">
        <v>30</v>
      </c>
      <c r="BD927" s="10">
        <v>0.1</v>
      </c>
      <c r="BE927" s="10" t="s">
        <v>139</v>
      </c>
      <c r="BF927" s="10">
        <v>20</v>
      </c>
      <c r="BG927" s="10">
        <v>0.3</v>
      </c>
      <c r="BH927" s="10"/>
      <c r="BI927" s="10"/>
      <c r="BJ927" s="10"/>
      <c r="BK927" s="10"/>
      <c r="BL927" s="10"/>
      <c r="BM927" s="10"/>
      <c r="BN927" s="10"/>
      <c r="BO927" s="10"/>
      <c r="BP927" s="10">
        <v>12</v>
      </c>
      <c r="BQ927" s="10"/>
      <c r="BR927" s="10" t="s">
        <v>449</v>
      </c>
      <c r="BS927" s="10" t="s">
        <v>1946</v>
      </c>
      <c r="BT927" s="10"/>
      <c r="BU927" s="10" t="s">
        <v>1947</v>
      </c>
      <c r="BV927">
        <v>38.700000000000003</v>
      </c>
      <c r="BW927">
        <v>0.36</v>
      </c>
      <c r="BX927">
        <v>10</v>
      </c>
      <c r="BY927">
        <v>40.299999999999997</v>
      </c>
      <c r="BZ927">
        <v>0.28999999999999998</v>
      </c>
      <c r="CA927">
        <v>10</v>
      </c>
      <c r="CB927" t="s">
        <v>113</v>
      </c>
      <c r="CC927" t="s">
        <v>1889</v>
      </c>
    </row>
    <row r="928" spans="1:81" x14ac:dyDescent="0.25">
      <c r="A928" s="10" t="s">
        <v>1778</v>
      </c>
      <c r="B928">
        <v>927</v>
      </c>
      <c r="C928" s="10">
        <v>18</v>
      </c>
      <c r="D928" s="10">
        <v>19</v>
      </c>
      <c r="E928" s="10">
        <v>200</v>
      </c>
      <c r="F928" s="10">
        <v>215</v>
      </c>
      <c r="G928" s="10">
        <v>519</v>
      </c>
      <c r="H928" s="10">
        <v>815</v>
      </c>
      <c r="I928" s="10" t="s">
        <v>322</v>
      </c>
      <c r="J928" s="10" t="s">
        <v>143</v>
      </c>
      <c r="K928" s="10"/>
      <c r="L928" s="10"/>
      <c r="M928" s="10" t="s">
        <v>85</v>
      </c>
      <c r="N928" s="10"/>
      <c r="O928" s="10" t="s">
        <v>14</v>
      </c>
      <c r="P928" s="10" t="s">
        <v>1938</v>
      </c>
      <c r="Q928" s="10" t="s">
        <v>1939</v>
      </c>
      <c r="R928" s="10">
        <v>1998</v>
      </c>
      <c r="S928" s="10" t="s">
        <v>188</v>
      </c>
      <c r="T928" s="10"/>
      <c r="U928" s="10" t="s">
        <v>1940</v>
      </c>
      <c r="V928" s="10" t="s">
        <v>1941</v>
      </c>
      <c r="W928" s="10" t="s">
        <v>91</v>
      </c>
      <c r="X928" s="10" t="s">
        <v>126</v>
      </c>
      <c r="Y928" s="10" t="s">
        <v>434</v>
      </c>
      <c r="Z928" s="10" t="s">
        <v>1282</v>
      </c>
      <c r="AA928" s="10" t="s">
        <v>1283</v>
      </c>
      <c r="AB928" s="10" t="s">
        <v>1284</v>
      </c>
      <c r="AC928" s="10" t="s">
        <v>1285</v>
      </c>
      <c r="AD928" s="10" t="s">
        <v>132</v>
      </c>
      <c r="AE928" s="10" t="s">
        <v>133</v>
      </c>
      <c r="AF928" s="10" t="s">
        <v>100</v>
      </c>
      <c r="AG928" s="10" t="s">
        <v>102</v>
      </c>
      <c r="AH928" s="10" t="s">
        <v>102</v>
      </c>
      <c r="AI928" s="10" t="s">
        <v>134</v>
      </c>
      <c r="AJ928" s="10" t="s">
        <v>135</v>
      </c>
      <c r="AK928" s="10"/>
      <c r="AL928" s="10"/>
      <c r="AM928" s="10" t="s">
        <v>136</v>
      </c>
      <c r="AN928" s="10" t="s">
        <v>700</v>
      </c>
      <c r="AO928" s="10"/>
      <c r="AP928" s="10"/>
      <c r="AQ928" s="10"/>
      <c r="AR928" s="10"/>
      <c r="AS928" s="10"/>
      <c r="AT928" s="10">
        <v>100</v>
      </c>
      <c r="AU928" s="10">
        <v>15</v>
      </c>
      <c r="AV928" s="10"/>
      <c r="AW928" s="10" t="s">
        <v>108</v>
      </c>
      <c r="AX928" s="10"/>
      <c r="AY928" s="10"/>
      <c r="AZ928" s="10" t="s">
        <v>109</v>
      </c>
      <c r="BA928" s="10" t="s">
        <v>138</v>
      </c>
      <c r="BB928" s="10">
        <v>20</v>
      </c>
      <c r="BC928" s="10">
        <v>25</v>
      </c>
      <c r="BD928" s="10">
        <v>0.1</v>
      </c>
      <c r="BE928" s="10" t="s">
        <v>139</v>
      </c>
      <c r="BF928" s="10">
        <v>20</v>
      </c>
      <c r="BG928" s="10">
        <v>0.3</v>
      </c>
      <c r="BH928" s="10"/>
      <c r="BI928" s="10"/>
      <c r="BJ928" s="10"/>
      <c r="BK928" s="10"/>
      <c r="BL928" s="10"/>
      <c r="BM928" s="10"/>
      <c r="BN928" s="10"/>
      <c r="BO928" s="10"/>
      <c r="BP928" s="10">
        <v>12</v>
      </c>
      <c r="BQ928" s="10"/>
      <c r="BR928" s="10" t="s">
        <v>449</v>
      </c>
      <c r="BS928" s="10" t="s">
        <v>1946</v>
      </c>
      <c r="BT928" s="10"/>
      <c r="BU928" s="10" t="s">
        <v>1947</v>
      </c>
      <c r="BV928">
        <v>35.4</v>
      </c>
      <c r="BW928">
        <v>0.47</v>
      </c>
      <c r="BX928">
        <v>10</v>
      </c>
      <c r="BY928">
        <v>36.700000000000003</v>
      </c>
      <c r="BZ928">
        <v>0.59</v>
      </c>
      <c r="CA928">
        <v>10</v>
      </c>
      <c r="CB928" t="s">
        <v>113</v>
      </c>
      <c r="CC928" t="s">
        <v>1889</v>
      </c>
    </row>
    <row r="929" spans="1:81" x14ac:dyDescent="0.25">
      <c r="A929" s="10" t="s">
        <v>1778</v>
      </c>
      <c r="B929">
        <v>928</v>
      </c>
      <c r="C929" s="10">
        <v>18</v>
      </c>
      <c r="D929" s="10">
        <v>19</v>
      </c>
      <c r="E929" s="10">
        <v>200</v>
      </c>
      <c r="F929" s="10">
        <v>215</v>
      </c>
      <c r="G929" s="10">
        <v>519</v>
      </c>
      <c r="H929" s="10">
        <v>816</v>
      </c>
      <c r="I929" s="10" t="s">
        <v>322</v>
      </c>
      <c r="J929" s="10" t="s">
        <v>143</v>
      </c>
      <c r="K929" s="10"/>
      <c r="L929" s="3"/>
      <c r="M929" s="10" t="s">
        <v>85</v>
      </c>
      <c r="N929" s="10"/>
      <c r="O929" s="10" t="s">
        <v>14</v>
      </c>
      <c r="P929" s="10" t="s">
        <v>1938</v>
      </c>
      <c r="Q929" s="10" t="s">
        <v>1939</v>
      </c>
      <c r="R929" s="10">
        <v>1998</v>
      </c>
      <c r="S929" s="10" t="s">
        <v>188</v>
      </c>
      <c r="T929" s="10"/>
      <c r="U929" s="10" t="s">
        <v>1940</v>
      </c>
      <c r="V929" s="10" t="s">
        <v>1941</v>
      </c>
      <c r="W929" s="10" t="s">
        <v>91</v>
      </c>
      <c r="X929" s="10" t="s">
        <v>126</v>
      </c>
      <c r="Y929" s="10" t="s">
        <v>434</v>
      </c>
      <c r="Z929" s="10" t="s">
        <v>1282</v>
      </c>
      <c r="AA929" s="10" t="s">
        <v>1283</v>
      </c>
      <c r="AB929" s="10" t="s">
        <v>1284</v>
      </c>
      <c r="AC929" s="10" t="s">
        <v>1285</v>
      </c>
      <c r="AD929" s="10" t="s">
        <v>132</v>
      </c>
      <c r="AE929" s="10" t="s">
        <v>133</v>
      </c>
      <c r="AF929" s="10" t="s">
        <v>100</v>
      </c>
      <c r="AG929" s="10" t="s">
        <v>102</v>
      </c>
      <c r="AH929" s="10" t="s">
        <v>102</v>
      </c>
      <c r="AI929" s="10" t="s">
        <v>134</v>
      </c>
      <c r="AJ929" s="10" t="s">
        <v>135</v>
      </c>
      <c r="AK929" s="10"/>
      <c r="AL929" s="10"/>
      <c r="AM929" s="10" t="s">
        <v>136</v>
      </c>
      <c r="AN929" s="10" t="s">
        <v>700</v>
      </c>
      <c r="AO929" s="10"/>
      <c r="AP929" s="10"/>
      <c r="AQ929" s="10"/>
      <c r="AR929" s="10"/>
      <c r="AS929" s="10"/>
      <c r="AT929" s="10">
        <v>100</v>
      </c>
      <c r="AU929" s="10">
        <v>15</v>
      </c>
      <c r="AV929" s="10"/>
      <c r="AW929" s="10" t="s">
        <v>108</v>
      </c>
      <c r="AX929" s="10"/>
      <c r="AY929" s="10"/>
      <c r="AZ929" s="10" t="s">
        <v>109</v>
      </c>
      <c r="BA929" s="10" t="s">
        <v>138</v>
      </c>
      <c r="BB929" s="10">
        <v>25</v>
      </c>
      <c r="BC929" s="10">
        <v>30</v>
      </c>
      <c r="BD929" s="10">
        <v>0.1</v>
      </c>
      <c r="BE929" s="10" t="s">
        <v>139</v>
      </c>
      <c r="BF929" s="10">
        <v>20</v>
      </c>
      <c r="BG929" s="10">
        <v>0.3</v>
      </c>
      <c r="BH929" s="10"/>
      <c r="BI929" s="10"/>
      <c r="BJ929" s="10"/>
      <c r="BK929" s="10"/>
      <c r="BL929" s="10"/>
      <c r="BM929" s="10"/>
      <c r="BN929" s="10"/>
      <c r="BO929" s="10"/>
      <c r="BP929" s="10">
        <v>12</v>
      </c>
      <c r="BQ929" s="10"/>
      <c r="BR929" s="10" t="s">
        <v>449</v>
      </c>
      <c r="BS929" s="10" t="s">
        <v>1946</v>
      </c>
      <c r="BT929" s="10"/>
      <c r="BU929" s="10" t="s">
        <v>1947</v>
      </c>
      <c r="BV929">
        <v>36.700000000000003</v>
      </c>
      <c r="BW929">
        <v>0.59</v>
      </c>
      <c r="BX929">
        <v>10</v>
      </c>
      <c r="BY929">
        <v>38.5</v>
      </c>
      <c r="BZ929">
        <v>0.34</v>
      </c>
      <c r="CA929">
        <v>10</v>
      </c>
      <c r="CB929" t="s">
        <v>113</v>
      </c>
      <c r="CC929" t="s">
        <v>1889</v>
      </c>
    </row>
    <row r="930" spans="1:81" x14ac:dyDescent="0.25">
      <c r="A930" s="10" t="s">
        <v>1778</v>
      </c>
      <c r="B930">
        <v>929</v>
      </c>
      <c r="C930" s="10">
        <v>18</v>
      </c>
      <c r="D930" s="10">
        <v>10</v>
      </c>
      <c r="E930" s="10">
        <v>201</v>
      </c>
      <c r="F930" s="10">
        <v>216</v>
      </c>
      <c r="G930" s="10">
        <v>520</v>
      </c>
      <c r="H930" s="10">
        <v>817</v>
      </c>
      <c r="I930" s="10" t="s">
        <v>322</v>
      </c>
      <c r="J930" s="10" t="s">
        <v>143</v>
      </c>
      <c r="K930" s="10"/>
      <c r="L930" s="3"/>
      <c r="M930" s="10" t="s">
        <v>85</v>
      </c>
      <c r="N930" s="10"/>
      <c r="O930" s="10" t="s">
        <v>14</v>
      </c>
      <c r="P930" s="10" t="s">
        <v>1938</v>
      </c>
      <c r="Q930" s="10" t="s">
        <v>1939</v>
      </c>
      <c r="R930" s="10">
        <v>1998</v>
      </c>
      <c r="S930" s="10" t="s">
        <v>188</v>
      </c>
      <c r="T930" s="10"/>
      <c r="U930" s="10" t="s">
        <v>1940</v>
      </c>
      <c r="V930" s="10" t="s">
        <v>1941</v>
      </c>
      <c r="W930" s="10" t="s">
        <v>91</v>
      </c>
      <c r="X930" s="10" t="s">
        <v>126</v>
      </c>
      <c r="Y930" s="10" t="s">
        <v>190</v>
      </c>
      <c r="Z930" s="10" t="s">
        <v>191</v>
      </c>
      <c r="AA930" s="10" t="s">
        <v>192</v>
      </c>
      <c r="AB930" s="10" t="s">
        <v>227</v>
      </c>
      <c r="AC930" s="10" t="s">
        <v>228</v>
      </c>
      <c r="AD930" s="10" t="s">
        <v>132</v>
      </c>
      <c r="AE930" s="10" t="s">
        <v>133</v>
      </c>
      <c r="AF930" s="10" t="s">
        <v>100</v>
      </c>
      <c r="AG930" s="10" t="s">
        <v>102</v>
      </c>
      <c r="AH930" s="10" t="s">
        <v>102</v>
      </c>
      <c r="AI930" s="10" t="s">
        <v>134</v>
      </c>
      <c r="AJ930" s="10" t="s">
        <v>135</v>
      </c>
      <c r="AK930" s="10"/>
      <c r="AL930" s="10"/>
      <c r="AM930" s="10" t="s">
        <v>136</v>
      </c>
      <c r="AN930" s="10" t="s">
        <v>242</v>
      </c>
      <c r="AO930" s="10"/>
      <c r="AP930" s="10"/>
      <c r="AQ930" s="10"/>
      <c r="AR930" s="10"/>
      <c r="AS930" s="10"/>
      <c r="AT930" s="10">
        <v>40</v>
      </c>
      <c r="AU930" s="10">
        <v>2</v>
      </c>
      <c r="AV930" s="10">
        <v>62</v>
      </c>
      <c r="AW930" s="10" t="s">
        <v>108</v>
      </c>
      <c r="AX930" s="10"/>
      <c r="AY930" s="10"/>
      <c r="AZ930" s="10" t="s">
        <v>109</v>
      </c>
      <c r="BA930" s="10" t="s">
        <v>138</v>
      </c>
      <c r="BB930" s="10">
        <v>10</v>
      </c>
      <c r="BC930" s="10">
        <v>15</v>
      </c>
      <c r="BD930" s="10">
        <v>0.1</v>
      </c>
      <c r="BE930" s="10" t="s">
        <v>139</v>
      </c>
      <c r="BF930" s="10">
        <v>20</v>
      </c>
      <c r="BG930" s="10">
        <v>0.3</v>
      </c>
      <c r="BH930" s="10"/>
      <c r="BI930" s="10"/>
      <c r="BJ930" s="10"/>
      <c r="BK930" s="10"/>
      <c r="BL930" s="10"/>
      <c r="BM930" s="10"/>
      <c r="BN930" s="10"/>
      <c r="BO930" s="10"/>
      <c r="BP930" s="10">
        <v>12</v>
      </c>
      <c r="BQ930" s="10"/>
      <c r="BR930" s="10" t="s">
        <v>449</v>
      </c>
      <c r="BS930" s="10" t="s">
        <v>1946</v>
      </c>
      <c r="BT930" s="10"/>
      <c r="BU930" s="10" t="s">
        <v>1948</v>
      </c>
      <c r="BV930">
        <v>28</v>
      </c>
      <c r="BW930">
        <v>0.36</v>
      </c>
      <c r="BX930">
        <v>10</v>
      </c>
      <c r="BY930">
        <v>29.1</v>
      </c>
      <c r="BZ930">
        <v>0.27</v>
      </c>
      <c r="CA930">
        <v>10</v>
      </c>
      <c r="CB930" t="s">
        <v>113</v>
      </c>
      <c r="CC930" t="s">
        <v>1889</v>
      </c>
    </row>
    <row r="931" spans="1:81" x14ac:dyDescent="0.25">
      <c r="A931" s="10" t="s">
        <v>1778</v>
      </c>
      <c r="B931">
        <v>930</v>
      </c>
      <c r="C931" s="10">
        <v>18</v>
      </c>
      <c r="D931" s="10">
        <v>10</v>
      </c>
      <c r="E931" s="10">
        <v>201</v>
      </c>
      <c r="F931" s="10">
        <v>216</v>
      </c>
      <c r="G931" s="10">
        <v>520</v>
      </c>
      <c r="H931" s="10">
        <v>818</v>
      </c>
      <c r="I931" s="10" t="s">
        <v>322</v>
      </c>
      <c r="J931" s="10" t="s">
        <v>143</v>
      </c>
      <c r="K931" s="10"/>
      <c r="L931" s="3"/>
      <c r="M931" s="10" t="s">
        <v>85</v>
      </c>
      <c r="N931" s="10"/>
      <c r="O931" s="10" t="s">
        <v>14</v>
      </c>
      <c r="P931" s="10" t="s">
        <v>1938</v>
      </c>
      <c r="Q931" s="10" t="s">
        <v>1939</v>
      </c>
      <c r="R931" s="10">
        <v>1998</v>
      </c>
      <c r="S931" s="10" t="s">
        <v>188</v>
      </c>
      <c r="T931" s="10"/>
      <c r="U931" s="10" t="s">
        <v>1940</v>
      </c>
      <c r="V931" s="10" t="s">
        <v>1941</v>
      </c>
      <c r="W931" s="10" t="s">
        <v>91</v>
      </c>
      <c r="X931" s="10" t="s">
        <v>126</v>
      </c>
      <c r="Y931" s="10" t="s">
        <v>190</v>
      </c>
      <c r="Z931" s="10" t="s">
        <v>191</v>
      </c>
      <c r="AA931" s="10" t="s">
        <v>192</v>
      </c>
      <c r="AB931" s="10" t="s">
        <v>227</v>
      </c>
      <c r="AC931" s="10" t="s">
        <v>228</v>
      </c>
      <c r="AD931" s="10" t="s">
        <v>132</v>
      </c>
      <c r="AE931" s="10" t="s">
        <v>133</v>
      </c>
      <c r="AF931" s="10" t="s">
        <v>100</v>
      </c>
      <c r="AG931" s="10" t="s">
        <v>102</v>
      </c>
      <c r="AH931" s="10" t="s">
        <v>102</v>
      </c>
      <c r="AI931" s="10" t="s">
        <v>134</v>
      </c>
      <c r="AJ931" s="10" t="s">
        <v>135</v>
      </c>
      <c r="AK931" s="10"/>
      <c r="AL931" s="10"/>
      <c r="AM931" s="10" t="s">
        <v>136</v>
      </c>
      <c r="AN931" s="10" t="s">
        <v>242</v>
      </c>
      <c r="AO931" s="10"/>
      <c r="AP931" s="10"/>
      <c r="AQ931" s="10"/>
      <c r="AR931" s="10"/>
      <c r="AS931" s="10"/>
      <c r="AT931" s="10">
        <v>40</v>
      </c>
      <c r="AU931" s="10">
        <v>2</v>
      </c>
      <c r="AV931" s="10">
        <v>62</v>
      </c>
      <c r="AW931" s="10" t="s">
        <v>108</v>
      </c>
      <c r="AX931" s="10"/>
      <c r="AY931" s="10"/>
      <c r="AZ931" s="10" t="s">
        <v>109</v>
      </c>
      <c r="BA931" s="10" t="s">
        <v>138</v>
      </c>
      <c r="BB931" s="10">
        <v>15</v>
      </c>
      <c r="BC931" s="10">
        <v>20</v>
      </c>
      <c r="BD931" s="10">
        <v>0.1</v>
      </c>
      <c r="BE931" s="10" t="s">
        <v>139</v>
      </c>
      <c r="BF931" s="10">
        <v>20</v>
      </c>
      <c r="BG931" s="10">
        <v>0.3</v>
      </c>
      <c r="BH931" s="10"/>
      <c r="BI931" s="10"/>
      <c r="BJ931" s="10"/>
      <c r="BK931" s="10"/>
      <c r="BL931" s="10"/>
      <c r="BM931" s="10"/>
      <c r="BN931" s="10"/>
      <c r="BO931" s="10"/>
      <c r="BP931" s="10">
        <v>12</v>
      </c>
      <c r="BQ931" s="10"/>
      <c r="BR931" s="10" t="s">
        <v>449</v>
      </c>
      <c r="BS931" s="10" t="s">
        <v>1946</v>
      </c>
      <c r="BT931" s="10"/>
      <c r="BU931" s="10" t="s">
        <v>1948</v>
      </c>
      <c r="BV931">
        <v>29.1</v>
      </c>
      <c r="BW931">
        <v>0.27</v>
      </c>
      <c r="BX931">
        <v>10</v>
      </c>
      <c r="BY931">
        <v>29.8</v>
      </c>
      <c r="BZ931">
        <v>0.36</v>
      </c>
      <c r="CA931">
        <v>10</v>
      </c>
      <c r="CB931" t="s">
        <v>113</v>
      </c>
      <c r="CC931" t="s">
        <v>1889</v>
      </c>
    </row>
    <row r="932" spans="1:81" x14ac:dyDescent="0.25">
      <c r="A932" s="10" t="s">
        <v>1778</v>
      </c>
      <c r="B932">
        <v>931</v>
      </c>
      <c r="C932" s="10">
        <v>16</v>
      </c>
      <c r="D932" s="10">
        <v>17</v>
      </c>
      <c r="E932" s="10">
        <v>202</v>
      </c>
      <c r="F932" s="10">
        <v>217</v>
      </c>
      <c r="G932" s="10">
        <v>521</v>
      </c>
      <c r="H932" s="10">
        <v>819</v>
      </c>
      <c r="I932" s="10" t="s">
        <v>1949</v>
      </c>
      <c r="J932" s="10" t="s">
        <v>197</v>
      </c>
      <c r="K932" s="10"/>
      <c r="L932" s="3"/>
      <c r="M932" s="10" t="s">
        <v>85</v>
      </c>
      <c r="N932" s="10"/>
      <c r="O932" s="10" t="s">
        <v>14</v>
      </c>
      <c r="P932" s="10" t="s">
        <v>1950</v>
      </c>
      <c r="Q932" s="10" t="s">
        <v>1951</v>
      </c>
      <c r="R932" s="10">
        <v>2013</v>
      </c>
      <c r="S932" s="10" t="s">
        <v>1952</v>
      </c>
      <c r="T932" s="10"/>
      <c r="U932" s="10" t="s">
        <v>1953</v>
      </c>
      <c r="V932" s="10" t="s">
        <v>1954</v>
      </c>
      <c r="W932" s="10" t="s">
        <v>91</v>
      </c>
      <c r="X932" s="10" t="s">
        <v>126</v>
      </c>
      <c r="Y932" s="10" t="s">
        <v>190</v>
      </c>
      <c r="Z932" s="10" t="s">
        <v>191</v>
      </c>
      <c r="AA932" s="10" t="s">
        <v>192</v>
      </c>
      <c r="AB932" s="10" t="s">
        <v>1955</v>
      </c>
      <c r="AC932" s="10" t="s">
        <v>1956</v>
      </c>
      <c r="AD932" s="10" t="s">
        <v>132</v>
      </c>
      <c r="AE932" s="10" t="s">
        <v>133</v>
      </c>
      <c r="AF932" s="10" t="s">
        <v>100</v>
      </c>
      <c r="AG932" s="10" t="s">
        <v>101</v>
      </c>
      <c r="AH932" s="10" t="s">
        <v>102</v>
      </c>
      <c r="AI932" s="10" t="s">
        <v>103</v>
      </c>
      <c r="AJ932" s="10" t="s">
        <v>104</v>
      </c>
      <c r="AK932" s="10">
        <v>90</v>
      </c>
      <c r="AL932" s="10">
        <v>6</v>
      </c>
      <c r="AM932" s="10" t="s">
        <v>105</v>
      </c>
      <c r="AN932" s="10" t="s">
        <v>106</v>
      </c>
      <c r="AO932" s="10">
        <v>49.278770000000002</v>
      </c>
      <c r="AP932" s="10">
        <v>-121.91323</v>
      </c>
      <c r="AQ932" s="10">
        <v>10</v>
      </c>
      <c r="AR932" s="10"/>
      <c r="AS932" s="10">
        <v>2010</v>
      </c>
      <c r="AT932" s="10"/>
      <c r="AU932" s="10"/>
      <c r="AV932" s="10">
        <v>90</v>
      </c>
      <c r="AW932" s="10" t="s">
        <v>108</v>
      </c>
      <c r="AX932" s="10"/>
      <c r="AY932" s="10"/>
      <c r="AZ932" s="10" t="s">
        <v>109</v>
      </c>
      <c r="BA932" s="10" t="s">
        <v>138</v>
      </c>
      <c r="BB932" s="10">
        <v>10</v>
      </c>
      <c r="BC932" s="10">
        <v>14</v>
      </c>
      <c r="BD932" s="10"/>
      <c r="BE932" s="10" t="s">
        <v>139</v>
      </c>
      <c r="BF932" s="10"/>
      <c r="BG932" s="10">
        <v>0.1</v>
      </c>
      <c r="BH932" s="10"/>
      <c r="BI932" s="10"/>
      <c r="BJ932" s="10"/>
      <c r="BK932" s="10"/>
      <c r="BL932" s="10"/>
      <c r="BM932" s="10"/>
      <c r="BN932" s="10"/>
      <c r="BO932" s="10"/>
      <c r="BP932" s="10"/>
      <c r="BQ932" s="10"/>
      <c r="BR932" s="10" t="s">
        <v>69</v>
      </c>
      <c r="BS932" s="10"/>
      <c r="BT932" s="10"/>
      <c r="BU932" s="10" t="s">
        <v>1957</v>
      </c>
      <c r="BV932">
        <v>25.6</v>
      </c>
      <c r="BW932">
        <v>0.18761663000000001</v>
      </c>
      <c r="BX932">
        <v>22</v>
      </c>
      <c r="BY932">
        <v>24.8</v>
      </c>
      <c r="BZ932">
        <v>0.37523326099999998</v>
      </c>
      <c r="CA932">
        <v>22</v>
      </c>
      <c r="CB932" t="s">
        <v>113</v>
      </c>
      <c r="CC932" t="s">
        <v>1958</v>
      </c>
    </row>
    <row r="933" spans="1:81" x14ac:dyDescent="0.25">
      <c r="A933" s="10" t="s">
        <v>1778</v>
      </c>
      <c r="B933">
        <v>932</v>
      </c>
      <c r="C933" s="10">
        <v>16</v>
      </c>
      <c r="D933" s="10">
        <v>17</v>
      </c>
      <c r="E933" s="10">
        <v>202</v>
      </c>
      <c r="F933" s="10">
        <v>217</v>
      </c>
      <c r="G933" s="10">
        <v>521</v>
      </c>
      <c r="H933" s="10">
        <v>820</v>
      </c>
      <c r="I933" s="10" t="s">
        <v>1959</v>
      </c>
      <c r="J933" s="10" t="s">
        <v>197</v>
      </c>
      <c r="K933" s="10"/>
      <c r="L933" s="3"/>
      <c r="M933" s="10" t="s">
        <v>85</v>
      </c>
      <c r="N933" s="10"/>
      <c r="O933" s="10" t="s">
        <v>14</v>
      </c>
      <c r="P933" s="10" t="s">
        <v>1950</v>
      </c>
      <c r="Q933" s="10" t="s">
        <v>1951</v>
      </c>
      <c r="R933" s="10">
        <v>2013</v>
      </c>
      <c r="S933" s="10" t="s">
        <v>1952</v>
      </c>
      <c r="T933" s="10"/>
      <c r="U933" s="10" t="s">
        <v>1953</v>
      </c>
      <c r="V933" s="10" t="s">
        <v>1954</v>
      </c>
      <c r="W933" s="10" t="s">
        <v>91</v>
      </c>
      <c r="X933" s="10" t="s">
        <v>126</v>
      </c>
      <c r="Y933" s="10" t="s">
        <v>190</v>
      </c>
      <c r="Z933" s="10" t="s">
        <v>191</v>
      </c>
      <c r="AA933" s="10" t="s">
        <v>192</v>
      </c>
      <c r="AB933" s="10" t="s">
        <v>1955</v>
      </c>
      <c r="AC933" s="10" t="s">
        <v>1956</v>
      </c>
      <c r="AD933" s="10" t="s">
        <v>132</v>
      </c>
      <c r="AE933" s="10" t="s">
        <v>133</v>
      </c>
      <c r="AF933" s="10" t="s">
        <v>100</v>
      </c>
      <c r="AG933" s="10" t="s">
        <v>101</v>
      </c>
      <c r="AH933" s="10" t="s">
        <v>102</v>
      </c>
      <c r="AI933" s="10" t="s">
        <v>103</v>
      </c>
      <c r="AJ933" s="10" t="s">
        <v>104</v>
      </c>
      <c r="AK933" s="10">
        <v>90</v>
      </c>
      <c r="AL933" s="10">
        <v>6</v>
      </c>
      <c r="AM933" s="10" t="s">
        <v>105</v>
      </c>
      <c r="AN933" s="10" t="s">
        <v>106</v>
      </c>
      <c r="AO933" s="10">
        <v>49.278770000000002</v>
      </c>
      <c r="AP933" s="10">
        <v>-121.91323</v>
      </c>
      <c r="AQ933" s="10">
        <v>10</v>
      </c>
      <c r="AR933" s="10"/>
      <c r="AS933" s="10">
        <v>2010</v>
      </c>
      <c r="AT933" s="10"/>
      <c r="AU933" s="10"/>
      <c r="AV933" s="10">
        <v>90</v>
      </c>
      <c r="AW933" s="10" t="s">
        <v>108</v>
      </c>
      <c r="AX933" s="10"/>
      <c r="AY933" s="10"/>
      <c r="AZ933" s="10" t="s">
        <v>109</v>
      </c>
      <c r="BA933" s="10" t="s">
        <v>138</v>
      </c>
      <c r="BB933" s="10">
        <v>14</v>
      </c>
      <c r="BC933" s="10">
        <v>16</v>
      </c>
      <c r="BD933" s="10"/>
      <c r="BE933" s="10" t="s">
        <v>139</v>
      </c>
      <c r="BF933" s="10"/>
      <c r="BG933" s="10">
        <v>0.1</v>
      </c>
      <c r="BH933" s="10"/>
      <c r="BI933" s="10"/>
      <c r="BJ933" s="10"/>
      <c r="BK933" s="10"/>
      <c r="BL933" s="10"/>
      <c r="BM933" s="10"/>
      <c r="BN933" s="10"/>
      <c r="BO933" s="10"/>
      <c r="BP933" s="10"/>
      <c r="BQ933" s="10"/>
      <c r="BR933" s="10" t="s">
        <v>69</v>
      </c>
      <c r="BS933" s="10"/>
      <c r="BT933" s="10"/>
      <c r="BU933" s="10" t="s">
        <v>1957</v>
      </c>
      <c r="BV933">
        <v>24.8</v>
      </c>
      <c r="BW933">
        <v>0.37523326099999998</v>
      </c>
      <c r="BX933">
        <v>22</v>
      </c>
      <c r="BY933">
        <v>23.8</v>
      </c>
      <c r="BZ933">
        <v>1.297998459</v>
      </c>
      <c r="CA933">
        <v>13</v>
      </c>
      <c r="CB933" t="s">
        <v>113</v>
      </c>
      <c r="CC933" t="s">
        <v>1958</v>
      </c>
    </row>
    <row r="934" spans="1:81" x14ac:dyDescent="0.25">
      <c r="A934" s="10" t="s">
        <v>1778</v>
      </c>
      <c r="B934">
        <v>933</v>
      </c>
      <c r="C934" s="10">
        <v>16</v>
      </c>
      <c r="D934" s="10">
        <v>17</v>
      </c>
      <c r="E934" s="10">
        <v>203</v>
      </c>
      <c r="F934" s="10">
        <v>218</v>
      </c>
      <c r="G934" s="10">
        <v>522</v>
      </c>
      <c r="H934" s="10">
        <v>821</v>
      </c>
      <c r="I934" s="10" t="s">
        <v>1949</v>
      </c>
      <c r="J934" s="10" t="s">
        <v>197</v>
      </c>
      <c r="K934" s="10"/>
      <c r="L934" s="3"/>
      <c r="M934" s="10" t="s">
        <v>85</v>
      </c>
      <c r="N934" s="10"/>
      <c r="O934" s="10" t="s">
        <v>14</v>
      </c>
      <c r="P934" s="10" t="s">
        <v>1950</v>
      </c>
      <c r="Q934" s="10" t="s">
        <v>1951</v>
      </c>
      <c r="R934" s="10">
        <v>2013</v>
      </c>
      <c r="S934" s="10" t="s">
        <v>1952</v>
      </c>
      <c r="T934" s="10"/>
      <c r="U934" s="10" t="s">
        <v>1953</v>
      </c>
      <c r="V934" s="10" t="s">
        <v>1954</v>
      </c>
      <c r="W934" s="10" t="s">
        <v>91</v>
      </c>
      <c r="X934" s="10" t="s">
        <v>126</v>
      </c>
      <c r="Y934" s="10" t="s">
        <v>190</v>
      </c>
      <c r="Z934" s="10" t="s">
        <v>191</v>
      </c>
      <c r="AA934" s="10" t="s">
        <v>192</v>
      </c>
      <c r="AB934" s="10" t="s">
        <v>1955</v>
      </c>
      <c r="AC934" s="10" t="s">
        <v>1956</v>
      </c>
      <c r="AD934" s="10" t="s">
        <v>132</v>
      </c>
      <c r="AE934" s="10" t="s">
        <v>133</v>
      </c>
      <c r="AF934" s="10" t="s">
        <v>100</v>
      </c>
      <c r="AG934" s="10" t="s">
        <v>101</v>
      </c>
      <c r="AH934" s="10" t="s">
        <v>102</v>
      </c>
      <c r="AI934" s="10" t="s">
        <v>103</v>
      </c>
      <c r="AJ934" s="10" t="s">
        <v>104</v>
      </c>
      <c r="AK934" s="10">
        <v>90</v>
      </c>
      <c r="AL934" s="10">
        <v>6</v>
      </c>
      <c r="AM934" s="10" t="s">
        <v>105</v>
      </c>
      <c r="AN934" s="10" t="s">
        <v>106</v>
      </c>
      <c r="AO934" s="10">
        <v>49.352330000000002</v>
      </c>
      <c r="AP934" s="10">
        <v>-121.87797999999999</v>
      </c>
      <c r="AQ934" s="10">
        <v>10</v>
      </c>
      <c r="AR934" s="10"/>
      <c r="AS934" s="10">
        <v>2010</v>
      </c>
      <c r="AT934" s="10"/>
      <c r="AU934" s="10"/>
      <c r="AV934" s="10">
        <v>90</v>
      </c>
      <c r="AW934" s="10" t="s">
        <v>108</v>
      </c>
      <c r="AX934" s="10"/>
      <c r="AY934" s="10"/>
      <c r="AZ934" s="10" t="s">
        <v>109</v>
      </c>
      <c r="BA934" s="10" t="s">
        <v>138</v>
      </c>
      <c r="BB934" s="10">
        <v>10</v>
      </c>
      <c r="BC934" s="10">
        <v>14</v>
      </c>
      <c r="BD934" s="10"/>
      <c r="BE934" s="10" t="s">
        <v>139</v>
      </c>
      <c r="BF934" s="10"/>
      <c r="BG934" s="10">
        <v>0.1</v>
      </c>
      <c r="BH934" s="10"/>
      <c r="BI934" s="10"/>
      <c r="BJ934" s="10"/>
      <c r="BK934" s="10"/>
      <c r="BL934" s="10"/>
      <c r="BM934" s="10"/>
      <c r="BN934" s="10"/>
      <c r="BO934" s="10"/>
      <c r="BP934" s="10"/>
      <c r="BQ934" s="10"/>
      <c r="BR934" s="10" t="s">
        <v>69</v>
      </c>
      <c r="BS934" s="10"/>
      <c r="BT934" s="10"/>
      <c r="BU934" s="10" t="s">
        <v>1960</v>
      </c>
      <c r="BV934">
        <v>25.9</v>
      </c>
      <c r="BW934">
        <v>0.23452078800000001</v>
      </c>
      <c r="BX934">
        <v>22</v>
      </c>
      <c r="BY934">
        <v>24.1</v>
      </c>
      <c r="BZ934">
        <v>0.46904157600000002</v>
      </c>
      <c r="CA934">
        <v>22</v>
      </c>
      <c r="CB934" t="s">
        <v>113</v>
      </c>
      <c r="CC934" t="s">
        <v>1958</v>
      </c>
    </row>
    <row r="935" spans="1:81" x14ac:dyDescent="0.25">
      <c r="A935" s="10" t="s">
        <v>1778</v>
      </c>
      <c r="B935">
        <v>934</v>
      </c>
      <c r="C935" s="10">
        <v>16</v>
      </c>
      <c r="D935" s="10">
        <v>17</v>
      </c>
      <c r="E935" s="10">
        <v>203</v>
      </c>
      <c r="F935" s="10">
        <v>218</v>
      </c>
      <c r="G935" s="10">
        <v>522</v>
      </c>
      <c r="H935" s="10">
        <v>822</v>
      </c>
      <c r="I935" s="10" t="s">
        <v>1959</v>
      </c>
      <c r="J935" s="10" t="s">
        <v>197</v>
      </c>
      <c r="K935" s="10"/>
      <c r="L935" s="10"/>
      <c r="M935" s="10" t="s">
        <v>85</v>
      </c>
      <c r="N935" s="10"/>
      <c r="O935" s="10" t="s">
        <v>14</v>
      </c>
      <c r="P935" s="10" t="s">
        <v>1950</v>
      </c>
      <c r="Q935" s="10" t="s">
        <v>1951</v>
      </c>
      <c r="R935" s="10">
        <v>2013</v>
      </c>
      <c r="S935" s="10" t="s">
        <v>1952</v>
      </c>
      <c r="T935" s="10"/>
      <c r="U935" s="10" t="s">
        <v>1953</v>
      </c>
      <c r="V935" s="10" t="s">
        <v>1954</v>
      </c>
      <c r="W935" s="10" t="s">
        <v>91</v>
      </c>
      <c r="X935" s="10" t="s">
        <v>126</v>
      </c>
      <c r="Y935" s="10" t="s">
        <v>190</v>
      </c>
      <c r="Z935" s="10" t="s">
        <v>191</v>
      </c>
      <c r="AA935" s="10" t="s">
        <v>192</v>
      </c>
      <c r="AB935" s="10" t="s">
        <v>1955</v>
      </c>
      <c r="AC935" s="10" t="s">
        <v>1956</v>
      </c>
      <c r="AD935" s="10" t="s">
        <v>132</v>
      </c>
      <c r="AE935" s="10" t="s">
        <v>133</v>
      </c>
      <c r="AF935" s="10" t="s">
        <v>100</v>
      </c>
      <c r="AG935" s="10" t="s">
        <v>101</v>
      </c>
      <c r="AH935" s="10" t="s">
        <v>102</v>
      </c>
      <c r="AI935" s="10" t="s">
        <v>103</v>
      </c>
      <c r="AJ935" s="10" t="s">
        <v>104</v>
      </c>
      <c r="AK935" s="10">
        <v>90</v>
      </c>
      <c r="AL935" s="10">
        <v>6</v>
      </c>
      <c r="AM935" s="10" t="s">
        <v>105</v>
      </c>
      <c r="AN935" s="10" t="s">
        <v>106</v>
      </c>
      <c r="AO935" s="10">
        <v>49.352330000000002</v>
      </c>
      <c r="AP935" s="10">
        <v>-121.87797999999999</v>
      </c>
      <c r="AQ935" s="10">
        <v>10</v>
      </c>
      <c r="AR935" s="10"/>
      <c r="AS935" s="10">
        <v>2010</v>
      </c>
      <c r="AT935" s="10"/>
      <c r="AU935" s="10"/>
      <c r="AV935" s="10">
        <v>90</v>
      </c>
      <c r="AW935" s="10" t="s">
        <v>108</v>
      </c>
      <c r="AX935" s="10"/>
      <c r="AY935" s="10"/>
      <c r="AZ935" s="10" t="s">
        <v>109</v>
      </c>
      <c r="BA935" s="10" t="s">
        <v>138</v>
      </c>
      <c r="BB935" s="10">
        <v>14</v>
      </c>
      <c r="BC935" s="10">
        <v>16</v>
      </c>
      <c r="BD935" s="10"/>
      <c r="BE935" s="10" t="s">
        <v>139</v>
      </c>
      <c r="BF935" s="10"/>
      <c r="BG935" s="10">
        <v>0.1</v>
      </c>
      <c r="BH935" s="10"/>
      <c r="BI935" s="10"/>
      <c r="BJ935" s="10"/>
      <c r="BK935" s="10"/>
      <c r="BL935" s="10"/>
      <c r="BM935" s="10"/>
      <c r="BN935" s="10"/>
      <c r="BO935" s="10"/>
      <c r="BP935" s="10"/>
      <c r="BQ935" s="10"/>
      <c r="BR935" s="10" t="s">
        <v>69</v>
      </c>
      <c r="BS935" s="10"/>
      <c r="BT935" s="10"/>
      <c r="BU935" s="10" t="s">
        <v>1960</v>
      </c>
      <c r="BV935">
        <v>24.1</v>
      </c>
      <c r="BW935">
        <v>0.46904157600000002</v>
      </c>
      <c r="BX935">
        <v>22</v>
      </c>
      <c r="BY935">
        <v>23.1</v>
      </c>
      <c r="BZ935">
        <v>0.98498730999999995</v>
      </c>
      <c r="CA935">
        <v>22</v>
      </c>
      <c r="CB935" t="s">
        <v>113</v>
      </c>
      <c r="CC935" t="s">
        <v>1958</v>
      </c>
    </row>
    <row r="936" spans="1:81" x14ac:dyDescent="0.25">
      <c r="A936" s="10" t="s">
        <v>1778</v>
      </c>
      <c r="B936">
        <v>935</v>
      </c>
      <c r="C936" s="10">
        <v>16</v>
      </c>
      <c r="D936" s="10">
        <v>17</v>
      </c>
      <c r="E936" s="10">
        <v>204</v>
      </c>
      <c r="F936" s="10">
        <v>219</v>
      </c>
      <c r="G936" s="10">
        <v>523</v>
      </c>
      <c r="H936" s="10">
        <v>823</v>
      </c>
      <c r="I936" s="10" t="s">
        <v>1961</v>
      </c>
      <c r="J936" s="10" t="s">
        <v>197</v>
      </c>
      <c r="K936" s="10"/>
      <c r="L936" s="10"/>
      <c r="M936" s="10" t="s">
        <v>85</v>
      </c>
      <c r="N936" s="10"/>
      <c r="O936" s="10" t="s">
        <v>14</v>
      </c>
      <c r="P936" s="10" t="s">
        <v>1950</v>
      </c>
      <c r="Q936" s="10" t="s">
        <v>1951</v>
      </c>
      <c r="R936" s="10">
        <v>2013</v>
      </c>
      <c r="S936" s="10" t="s">
        <v>1952</v>
      </c>
      <c r="T936" s="10"/>
      <c r="U936" s="10" t="s">
        <v>1953</v>
      </c>
      <c r="V936" s="10" t="s">
        <v>1954</v>
      </c>
      <c r="W936" s="10" t="s">
        <v>91</v>
      </c>
      <c r="X936" s="10" t="s">
        <v>126</v>
      </c>
      <c r="Y936" s="10" t="s">
        <v>190</v>
      </c>
      <c r="Z936" s="10" t="s">
        <v>191</v>
      </c>
      <c r="AA936" s="10" t="s">
        <v>192</v>
      </c>
      <c r="AB936" s="10" t="s">
        <v>1955</v>
      </c>
      <c r="AC936" s="10" t="s">
        <v>1956</v>
      </c>
      <c r="AD936" s="10" t="s">
        <v>132</v>
      </c>
      <c r="AE936" s="10" t="s">
        <v>133</v>
      </c>
      <c r="AF936" s="10" t="s">
        <v>100</v>
      </c>
      <c r="AG936" s="10" t="s">
        <v>101</v>
      </c>
      <c r="AH936" s="10" t="s">
        <v>102</v>
      </c>
      <c r="AI936" s="10" t="s">
        <v>103</v>
      </c>
      <c r="AJ936" s="10" t="s">
        <v>104</v>
      </c>
      <c r="AK936" s="10">
        <v>90</v>
      </c>
      <c r="AL936" s="10">
        <v>6</v>
      </c>
      <c r="AM936" s="10" t="s">
        <v>105</v>
      </c>
      <c r="AN936" s="10" t="s">
        <v>106</v>
      </c>
      <c r="AO936" s="10">
        <v>51.675020000000004</v>
      </c>
      <c r="AP936" s="10">
        <v>-120.05423</v>
      </c>
      <c r="AQ936" s="10">
        <v>280</v>
      </c>
      <c r="AR936" s="10"/>
      <c r="AS936" s="10">
        <v>2010</v>
      </c>
      <c r="AT936" s="10"/>
      <c r="AU936" s="10"/>
      <c r="AV936" s="10">
        <v>90</v>
      </c>
      <c r="AW936" s="10" t="s">
        <v>108</v>
      </c>
      <c r="AX936" s="10"/>
      <c r="AY936" s="10"/>
      <c r="AZ936" s="10" t="s">
        <v>109</v>
      </c>
      <c r="BA936" s="10" t="s">
        <v>138</v>
      </c>
      <c r="BB936" s="10">
        <v>10</v>
      </c>
      <c r="BC936" s="10">
        <v>14</v>
      </c>
      <c r="BD936" s="10"/>
      <c r="BE936" s="10" t="s">
        <v>139</v>
      </c>
      <c r="BF936" s="10"/>
      <c r="BG936" s="10">
        <v>0.1</v>
      </c>
      <c r="BH936" s="10"/>
      <c r="BI936" s="10"/>
      <c r="BJ936" s="10"/>
      <c r="BK936" s="10"/>
      <c r="BL936" s="10"/>
      <c r="BM936" s="10"/>
      <c r="BN936" s="10"/>
      <c r="BO936" s="10"/>
      <c r="BP936" s="10"/>
      <c r="BQ936" s="10"/>
      <c r="BR936" s="10" t="s">
        <v>69</v>
      </c>
      <c r="BS936" s="10"/>
      <c r="BT936" s="10"/>
      <c r="BU936" s="10" t="s">
        <v>1962</v>
      </c>
      <c r="BV936">
        <v>24.3</v>
      </c>
      <c r="BW936">
        <v>0.37523326099999998</v>
      </c>
      <c r="BX936">
        <v>22</v>
      </c>
      <c r="BY936">
        <v>23</v>
      </c>
      <c r="BZ936">
        <v>0.79737067900000003</v>
      </c>
      <c r="CA936">
        <v>22</v>
      </c>
      <c r="CB936" t="s">
        <v>113</v>
      </c>
      <c r="CC936" t="s">
        <v>1958</v>
      </c>
    </row>
    <row r="937" spans="1:81" x14ac:dyDescent="0.25">
      <c r="A937" s="10" t="s">
        <v>1778</v>
      </c>
      <c r="B937">
        <v>936</v>
      </c>
      <c r="C937" s="10">
        <v>16</v>
      </c>
      <c r="D937" s="10">
        <v>17</v>
      </c>
      <c r="E937" s="10">
        <v>205</v>
      </c>
      <c r="F937" s="10">
        <v>220</v>
      </c>
      <c r="G937" s="10">
        <v>524</v>
      </c>
      <c r="H937" s="10">
        <v>824</v>
      </c>
      <c r="I937" s="10" t="s">
        <v>1961</v>
      </c>
      <c r="J937" s="10" t="s">
        <v>197</v>
      </c>
      <c r="K937" s="10"/>
      <c r="L937" s="10"/>
      <c r="M937" s="10" t="s">
        <v>85</v>
      </c>
      <c r="N937" s="10"/>
      <c r="O937" s="10" t="s">
        <v>14</v>
      </c>
      <c r="P937" s="10" t="s">
        <v>1950</v>
      </c>
      <c r="Q937" s="10" t="s">
        <v>1951</v>
      </c>
      <c r="R937" s="10">
        <v>2013</v>
      </c>
      <c r="S937" s="10" t="s">
        <v>1952</v>
      </c>
      <c r="T937" s="10"/>
      <c r="U937" s="10" t="s">
        <v>1953</v>
      </c>
      <c r="V937" s="10" t="s">
        <v>1954</v>
      </c>
      <c r="W937" s="10" t="s">
        <v>91</v>
      </c>
      <c r="X937" s="10" t="s">
        <v>126</v>
      </c>
      <c r="Y937" s="10" t="s">
        <v>190</v>
      </c>
      <c r="Z937" s="10" t="s">
        <v>191</v>
      </c>
      <c r="AA937" s="10" t="s">
        <v>192</v>
      </c>
      <c r="AB937" s="10" t="s">
        <v>1955</v>
      </c>
      <c r="AC937" s="10" t="s">
        <v>1956</v>
      </c>
      <c r="AD937" s="10" t="s">
        <v>132</v>
      </c>
      <c r="AE937" s="10" t="s">
        <v>133</v>
      </c>
      <c r="AF937" s="10" t="s">
        <v>100</v>
      </c>
      <c r="AG937" s="10" t="s">
        <v>101</v>
      </c>
      <c r="AH937" s="10" t="s">
        <v>102</v>
      </c>
      <c r="AI937" s="10" t="s">
        <v>103</v>
      </c>
      <c r="AJ937" s="10" t="s">
        <v>104</v>
      </c>
      <c r="AK937" s="10">
        <v>90</v>
      </c>
      <c r="AL937" s="10">
        <v>6</v>
      </c>
      <c r="AM937" s="10" t="s">
        <v>105</v>
      </c>
      <c r="AN937" s="10" t="s">
        <v>106</v>
      </c>
      <c r="AO937" s="10">
        <v>50.90408</v>
      </c>
      <c r="AP937" s="10">
        <v>-119.4585</v>
      </c>
      <c r="AQ937" s="10">
        <v>366</v>
      </c>
      <c r="AR937" s="10"/>
      <c r="AS937" s="10">
        <v>2010</v>
      </c>
      <c r="AT937" s="10"/>
      <c r="AU937" s="10"/>
      <c r="AV937" s="10">
        <v>90</v>
      </c>
      <c r="AW937" s="10" t="s">
        <v>108</v>
      </c>
      <c r="AX937" s="10"/>
      <c r="AY937" s="10"/>
      <c r="AZ937" s="10" t="s">
        <v>109</v>
      </c>
      <c r="BA937" s="10" t="s">
        <v>138</v>
      </c>
      <c r="BB937" s="10">
        <v>10</v>
      </c>
      <c r="BC937" s="10">
        <v>14</v>
      </c>
      <c r="BD937" s="10"/>
      <c r="BE937" s="10" t="s">
        <v>139</v>
      </c>
      <c r="BF937" s="10"/>
      <c r="BG937" s="10">
        <v>0.1</v>
      </c>
      <c r="BH937" s="10"/>
      <c r="BI937" s="10"/>
      <c r="BJ937" s="10"/>
      <c r="BK937" s="10"/>
      <c r="BL937" s="10"/>
      <c r="BM937" s="10"/>
      <c r="BN937" s="10"/>
      <c r="BO937" s="10"/>
      <c r="BP937" s="10"/>
      <c r="BQ937" s="10"/>
      <c r="BR937" s="10" t="s">
        <v>69</v>
      </c>
      <c r="BS937" s="10"/>
      <c r="BT937" s="10"/>
      <c r="BU937" s="10" t="s">
        <v>1963</v>
      </c>
      <c r="BV937">
        <v>24.2</v>
      </c>
      <c r="BW937">
        <v>0.18761663000000001</v>
      </c>
      <c r="BX937">
        <v>22</v>
      </c>
      <c r="BY937">
        <v>23.5</v>
      </c>
      <c r="BZ937">
        <v>0.75046652199999997</v>
      </c>
      <c r="CA937">
        <v>22</v>
      </c>
      <c r="CB937" t="s">
        <v>113</v>
      </c>
      <c r="CC937" t="s">
        <v>1958</v>
      </c>
    </row>
    <row r="938" spans="1:81" x14ac:dyDescent="0.25">
      <c r="A938" s="10" t="s">
        <v>1778</v>
      </c>
      <c r="B938">
        <v>937</v>
      </c>
      <c r="C938" s="10">
        <v>16</v>
      </c>
      <c r="D938" s="10">
        <v>17</v>
      </c>
      <c r="E938" s="10">
        <v>206</v>
      </c>
      <c r="F938" s="10">
        <v>221</v>
      </c>
      <c r="G938" s="10">
        <v>525</v>
      </c>
      <c r="H938" s="10">
        <v>825</v>
      </c>
      <c r="I938" s="10" t="s">
        <v>1949</v>
      </c>
      <c r="J938" s="10" t="s">
        <v>197</v>
      </c>
      <c r="K938" s="10"/>
      <c r="L938" s="10"/>
      <c r="M938" s="10" t="s">
        <v>85</v>
      </c>
      <c r="N938" s="10"/>
      <c r="O938" s="10" t="s">
        <v>14</v>
      </c>
      <c r="P938" s="10" t="s">
        <v>1950</v>
      </c>
      <c r="Q938" s="10" t="s">
        <v>1951</v>
      </c>
      <c r="R938" s="10">
        <v>2013</v>
      </c>
      <c r="S938" s="10" t="s">
        <v>1952</v>
      </c>
      <c r="T938" s="10"/>
      <c r="U938" s="10" t="s">
        <v>1953</v>
      </c>
      <c r="V938" s="10" t="s">
        <v>1954</v>
      </c>
      <c r="W938" s="10" t="s">
        <v>91</v>
      </c>
      <c r="X938" s="10" t="s">
        <v>126</v>
      </c>
      <c r="Y938" s="10" t="s">
        <v>190</v>
      </c>
      <c r="Z938" s="10" t="s">
        <v>191</v>
      </c>
      <c r="AA938" s="10" t="s">
        <v>192</v>
      </c>
      <c r="AB938" s="10" t="s">
        <v>1955</v>
      </c>
      <c r="AC938" s="10" t="s">
        <v>1956</v>
      </c>
      <c r="AD938" s="10" t="s">
        <v>132</v>
      </c>
      <c r="AE938" s="10" t="s">
        <v>133</v>
      </c>
      <c r="AF938" s="10" t="s">
        <v>100</v>
      </c>
      <c r="AG938" s="10" t="s">
        <v>101</v>
      </c>
      <c r="AH938" s="10" t="s">
        <v>102</v>
      </c>
      <c r="AI938" s="10" t="s">
        <v>103</v>
      </c>
      <c r="AJ938" s="10" t="s">
        <v>104</v>
      </c>
      <c r="AK938" s="10">
        <v>90</v>
      </c>
      <c r="AL938" s="10">
        <v>6</v>
      </c>
      <c r="AM938" s="10" t="s">
        <v>105</v>
      </c>
      <c r="AN938" s="10" t="s">
        <v>106</v>
      </c>
      <c r="AO938" s="10">
        <v>50.899470000000001</v>
      </c>
      <c r="AP938" s="10">
        <v>-119.56876</v>
      </c>
      <c r="AQ938" s="10">
        <v>366</v>
      </c>
      <c r="AR938" s="10"/>
      <c r="AS938" s="10">
        <v>2010</v>
      </c>
      <c r="AT938" s="10"/>
      <c r="AU938" s="10"/>
      <c r="AV938" s="10">
        <v>90</v>
      </c>
      <c r="AW938" s="10" t="s">
        <v>108</v>
      </c>
      <c r="AX938" s="10"/>
      <c r="AY938" s="10"/>
      <c r="AZ938" s="10" t="s">
        <v>109</v>
      </c>
      <c r="BA938" s="10" t="s">
        <v>138</v>
      </c>
      <c r="BB938" s="10">
        <v>10</v>
      </c>
      <c r="BC938" s="10">
        <v>14</v>
      </c>
      <c r="BD938" s="10"/>
      <c r="BE938" s="10" t="s">
        <v>139</v>
      </c>
      <c r="BF938" s="10"/>
      <c r="BG938" s="10">
        <v>0.1</v>
      </c>
      <c r="BH938" s="10"/>
      <c r="BI938" s="10"/>
      <c r="BJ938" s="10"/>
      <c r="BK938" s="10"/>
      <c r="BL938" s="10"/>
      <c r="BM938" s="10"/>
      <c r="BN938" s="10"/>
      <c r="BO938" s="10"/>
      <c r="BP938" s="10"/>
      <c r="BQ938" s="10"/>
      <c r="BR938" s="10" t="s">
        <v>69</v>
      </c>
      <c r="BS938" s="10"/>
      <c r="BT938" s="10"/>
      <c r="BU938" s="10" t="s">
        <v>1964</v>
      </c>
      <c r="BV938">
        <v>25.4</v>
      </c>
      <c r="BW938">
        <v>0.18761663000000001</v>
      </c>
      <c r="BX938">
        <v>22</v>
      </c>
      <c r="BY938">
        <v>23.9</v>
      </c>
      <c r="BZ938">
        <v>0.79737067900000003</v>
      </c>
      <c r="CA938">
        <v>22</v>
      </c>
      <c r="CB938" t="s">
        <v>113</v>
      </c>
      <c r="CC938" t="s">
        <v>1958</v>
      </c>
    </row>
    <row r="939" spans="1:81" x14ac:dyDescent="0.25">
      <c r="A939" s="10" t="s">
        <v>1778</v>
      </c>
      <c r="B939">
        <v>938</v>
      </c>
      <c r="C939" s="10">
        <v>16</v>
      </c>
      <c r="D939" s="10">
        <v>17</v>
      </c>
      <c r="E939" s="10">
        <v>206</v>
      </c>
      <c r="F939" s="10">
        <v>221</v>
      </c>
      <c r="G939" s="10">
        <v>525</v>
      </c>
      <c r="H939" s="10">
        <v>826</v>
      </c>
      <c r="I939" s="10" t="s">
        <v>1959</v>
      </c>
      <c r="J939" s="10" t="s">
        <v>197</v>
      </c>
      <c r="K939" s="10"/>
      <c r="L939" s="10"/>
      <c r="M939" s="10" t="s">
        <v>85</v>
      </c>
      <c r="N939" s="10"/>
      <c r="O939" s="10" t="s">
        <v>14</v>
      </c>
      <c r="P939" s="10" t="s">
        <v>1950</v>
      </c>
      <c r="Q939" s="10" t="s">
        <v>1951</v>
      </c>
      <c r="R939" s="10">
        <v>2013</v>
      </c>
      <c r="S939" s="10" t="s">
        <v>1952</v>
      </c>
      <c r="T939" s="10"/>
      <c r="U939" s="10" t="s">
        <v>1953</v>
      </c>
      <c r="V939" s="10" t="s">
        <v>1954</v>
      </c>
      <c r="W939" s="10" t="s">
        <v>91</v>
      </c>
      <c r="X939" s="10" t="s">
        <v>126</v>
      </c>
      <c r="Y939" s="10" t="s">
        <v>190</v>
      </c>
      <c r="Z939" s="10" t="s">
        <v>191</v>
      </c>
      <c r="AA939" s="10" t="s">
        <v>192</v>
      </c>
      <c r="AB939" s="10" t="s">
        <v>1955</v>
      </c>
      <c r="AC939" s="10" t="s">
        <v>1956</v>
      </c>
      <c r="AD939" s="10" t="s">
        <v>132</v>
      </c>
      <c r="AE939" s="10" t="s">
        <v>133</v>
      </c>
      <c r="AF939" s="10" t="s">
        <v>100</v>
      </c>
      <c r="AG939" s="10" t="s">
        <v>101</v>
      </c>
      <c r="AH939" s="10" t="s">
        <v>102</v>
      </c>
      <c r="AI939" s="10" t="s">
        <v>103</v>
      </c>
      <c r="AJ939" s="10" t="s">
        <v>104</v>
      </c>
      <c r="AK939" s="10">
        <v>90</v>
      </c>
      <c r="AL939" s="10">
        <v>6</v>
      </c>
      <c r="AM939" s="10" t="s">
        <v>105</v>
      </c>
      <c r="AN939" s="10" t="s">
        <v>106</v>
      </c>
      <c r="AO939" s="10">
        <v>50.899470000000001</v>
      </c>
      <c r="AP939" s="10">
        <v>-119.56876</v>
      </c>
      <c r="AQ939" s="10">
        <v>366</v>
      </c>
      <c r="AR939" s="10"/>
      <c r="AS939" s="10">
        <v>2010</v>
      </c>
      <c r="AT939" s="10"/>
      <c r="AU939" s="10"/>
      <c r="AV939" s="10">
        <v>90</v>
      </c>
      <c r="AW939" s="10" t="s">
        <v>108</v>
      </c>
      <c r="AX939" s="10"/>
      <c r="AY939" s="10"/>
      <c r="AZ939" s="10" t="s">
        <v>109</v>
      </c>
      <c r="BA939" s="10" t="s">
        <v>138</v>
      </c>
      <c r="BB939" s="10">
        <v>14</v>
      </c>
      <c r="BC939" s="10">
        <v>16</v>
      </c>
      <c r="BD939" s="10"/>
      <c r="BE939" s="10" t="s">
        <v>139</v>
      </c>
      <c r="BF939" s="10"/>
      <c r="BG939" s="10">
        <v>0.1</v>
      </c>
      <c r="BH939" s="10"/>
      <c r="BI939" s="10"/>
      <c r="BJ939" s="10"/>
      <c r="BK939" s="10"/>
      <c r="BL939" s="10"/>
      <c r="BM939" s="10"/>
      <c r="BN939" s="10"/>
      <c r="BO939" s="10"/>
      <c r="BP939" s="10"/>
      <c r="BQ939" s="10"/>
      <c r="BR939" s="10" t="s">
        <v>69</v>
      </c>
      <c r="BS939" s="10"/>
      <c r="BT939" s="10"/>
      <c r="BU939" s="10" t="s">
        <v>1964</v>
      </c>
      <c r="BV939">
        <v>23.9</v>
      </c>
      <c r="BW939">
        <v>0.79737067900000003</v>
      </c>
      <c r="BX939">
        <v>22</v>
      </c>
      <c r="BY939">
        <v>22.8</v>
      </c>
      <c r="BZ939">
        <v>1.3602205700000001</v>
      </c>
      <c r="CA939">
        <v>22</v>
      </c>
      <c r="CB939" t="s">
        <v>113</v>
      </c>
      <c r="CC939" t="s">
        <v>1958</v>
      </c>
    </row>
    <row r="940" spans="1:81" x14ac:dyDescent="0.25">
      <c r="A940" s="10" t="s">
        <v>1778</v>
      </c>
      <c r="B940">
        <v>939</v>
      </c>
      <c r="C940" s="10">
        <v>16</v>
      </c>
      <c r="D940" s="10">
        <v>17</v>
      </c>
      <c r="E940" s="10">
        <v>207</v>
      </c>
      <c r="F940" s="10">
        <v>222</v>
      </c>
      <c r="G940" s="10">
        <v>526</v>
      </c>
      <c r="H940" s="10">
        <v>827</v>
      </c>
      <c r="I940" s="10" t="s">
        <v>1961</v>
      </c>
      <c r="J940" s="10" t="s">
        <v>197</v>
      </c>
      <c r="K940" s="10"/>
      <c r="L940" s="10"/>
      <c r="M940" s="10" t="s">
        <v>85</v>
      </c>
      <c r="N940" s="10"/>
      <c r="O940" s="10" t="s">
        <v>14</v>
      </c>
      <c r="P940" s="10" t="s">
        <v>1950</v>
      </c>
      <c r="Q940" s="10" t="s">
        <v>1951</v>
      </c>
      <c r="R940" s="10">
        <v>2013</v>
      </c>
      <c r="S940" s="10" t="s">
        <v>1952</v>
      </c>
      <c r="T940" s="10"/>
      <c r="U940" s="10" t="s">
        <v>1953</v>
      </c>
      <c r="V940" s="10" t="s">
        <v>1954</v>
      </c>
      <c r="W940" s="10" t="s">
        <v>91</v>
      </c>
      <c r="X940" s="10" t="s">
        <v>126</v>
      </c>
      <c r="Y940" s="10" t="s">
        <v>190</v>
      </c>
      <c r="Z940" s="10" t="s">
        <v>191</v>
      </c>
      <c r="AA940" s="10" t="s">
        <v>192</v>
      </c>
      <c r="AB940" s="10" t="s">
        <v>1955</v>
      </c>
      <c r="AC940" s="10" t="s">
        <v>1956</v>
      </c>
      <c r="AD940" s="10" t="s">
        <v>132</v>
      </c>
      <c r="AE940" s="10" t="s">
        <v>133</v>
      </c>
      <c r="AF940" s="10" t="s">
        <v>100</v>
      </c>
      <c r="AG940" s="10" t="s">
        <v>101</v>
      </c>
      <c r="AH940" s="10" t="s">
        <v>102</v>
      </c>
      <c r="AI940" s="10" t="s">
        <v>103</v>
      </c>
      <c r="AJ940" s="10" t="s">
        <v>104</v>
      </c>
      <c r="AK940" s="10">
        <v>90</v>
      </c>
      <c r="AL940" s="10">
        <v>6</v>
      </c>
      <c r="AM940" s="10" t="s">
        <v>105</v>
      </c>
      <c r="AN940" s="10" t="s">
        <v>106</v>
      </c>
      <c r="AO940" s="10">
        <v>51.297939999999997</v>
      </c>
      <c r="AP940" s="10">
        <v>-124.06291</v>
      </c>
      <c r="AQ940" s="10">
        <v>1174</v>
      </c>
      <c r="AR940" s="10"/>
      <c r="AS940" s="10">
        <v>2010</v>
      </c>
      <c r="AT940" s="10"/>
      <c r="AU940" s="10"/>
      <c r="AV940" s="10">
        <v>90</v>
      </c>
      <c r="AW940" s="10" t="s">
        <v>108</v>
      </c>
      <c r="AX940" s="10"/>
      <c r="AY940" s="10"/>
      <c r="AZ940" s="10" t="s">
        <v>109</v>
      </c>
      <c r="BA940" s="10" t="s">
        <v>138</v>
      </c>
      <c r="BB940" s="10">
        <v>10</v>
      </c>
      <c r="BC940" s="10">
        <v>14</v>
      </c>
      <c r="BD940" s="10"/>
      <c r="BE940" s="10" t="s">
        <v>139</v>
      </c>
      <c r="BF940" s="10"/>
      <c r="BG940" s="10">
        <v>0.1</v>
      </c>
      <c r="BH940" s="10"/>
      <c r="BI940" s="10"/>
      <c r="BJ940" s="10"/>
      <c r="BK940" s="10"/>
      <c r="BL940" s="10"/>
      <c r="BM940" s="10"/>
      <c r="BN940" s="10"/>
      <c r="BO940" s="10"/>
      <c r="BP940" s="10"/>
      <c r="BQ940" s="10"/>
      <c r="BR940" s="10" t="s">
        <v>69</v>
      </c>
      <c r="BS940" s="10"/>
      <c r="BT940" s="10"/>
      <c r="BU940" s="10" t="s">
        <v>1965</v>
      </c>
      <c r="BV940">
        <v>24.4</v>
      </c>
      <c r="BW940">
        <v>0.28142494600000001</v>
      </c>
      <c r="BX940">
        <v>22</v>
      </c>
      <c r="BY940">
        <v>23.5</v>
      </c>
      <c r="BZ940">
        <v>0.42213741799999999</v>
      </c>
      <c r="CA940">
        <v>22</v>
      </c>
      <c r="CB940" t="s">
        <v>113</v>
      </c>
      <c r="CC940" t="s">
        <v>1958</v>
      </c>
    </row>
    <row r="941" spans="1:81" x14ac:dyDescent="0.25">
      <c r="A941" s="10" t="s">
        <v>1778</v>
      </c>
      <c r="B941">
        <v>940</v>
      </c>
      <c r="C941" s="10">
        <v>16</v>
      </c>
      <c r="D941" s="10">
        <v>17</v>
      </c>
      <c r="E941" s="10">
        <v>208</v>
      </c>
      <c r="F941" s="10">
        <v>223</v>
      </c>
      <c r="G941" s="10">
        <v>527</v>
      </c>
      <c r="H941" s="10">
        <v>828</v>
      </c>
      <c r="I941" s="10" t="s">
        <v>1961</v>
      </c>
      <c r="J941" s="10" t="s">
        <v>197</v>
      </c>
      <c r="K941" s="10"/>
      <c r="L941" s="10"/>
      <c r="M941" s="10" t="s">
        <v>85</v>
      </c>
      <c r="N941" s="10"/>
      <c r="O941" s="10" t="s">
        <v>14</v>
      </c>
      <c r="P941" s="10" t="s">
        <v>1950</v>
      </c>
      <c r="Q941" s="10" t="s">
        <v>1951</v>
      </c>
      <c r="R941" s="10">
        <v>2013</v>
      </c>
      <c r="S941" s="10" t="s">
        <v>1952</v>
      </c>
      <c r="T941" s="10"/>
      <c r="U941" s="10" t="s">
        <v>1953</v>
      </c>
      <c r="V941" s="10" t="s">
        <v>1954</v>
      </c>
      <c r="W941" s="10" t="s">
        <v>91</v>
      </c>
      <c r="X941" s="10" t="s">
        <v>126</v>
      </c>
      <c r="Y941" s="10" t="s">
        <v>190</v>
      </c>
      <c r="Z941" s="10" t="s">
        <v>191</v>
      </c>
      <c r="AA941" s="10" t="s">
        <v>192</v>
      </c>
      <c r="AB941" s="10" t="s">
        <v>1955</v>
      </c>
      <c r="AC941" s="10" t="s">
        <v>1956</v>
      </c>
      <c r="AD941" s="10" t="s">
        <v>132</v>
      </c>
      <c r="AE941" s="10" t="s">
        <v>133</v>
      </c>
      <c r="AF941" s="10" t="s">
        <v>100</v>
      </c>
      <c r="AG941" s="10" t="s">
        <v>101</v>
      </c>
      <c r="AH941" s="10" t="s">
        <v>102</v>
      </c>
      <c r="AI941" s="10" t="s">
        <v>103</v>
      </c>
      <c r="AJ941" s="10" t="s">
        <v>104</v>
      </c>
      <c r="AK941" s="10">
        <v>90</v>
      </c>
      <c r="AL941" s="10">
        <v>6</v>
      </c>
      <c r="AM941" s="10" t="s">
        <v>105</v>
      </c>
      <c r="AN941" s="10" t="s">
        <v>106</v>
      </c>
      <c r="AO941" s="10">
        <v>52.423769999999998</v>
      </c>
      <c r="AP941" s="10">
        <v>-121.01242000000001</v>
      </c>
      <c r="AQ941" s="10">
        <v>728</v>
      </c>
      <c r="AR941" s="10"/>
      <c r="AS941" s="10">
        <v>2010</v>
      </c>
      <c r="AT941" s="10"/>
      <c r="AU941" s="10"/>
      <c r="AV941" s="10">
        <v>90</v>
      </c>
      <c r="AW941" s="10" t="s">
        <v>108</v>
      </c>
      <c r="AX941" s="10"/>
      <c r="AY941" s="10"/>
      <c r="AZ941" s="10" t="s">
        <v>109</v>
      </c>
      <c r="BA941" s="10" t="s">
        <v>138</v>
      </c>
      <c r="BB941" s="10">
        <v>10</v>
      </c>
      <c r="BC941" s="10">
        <v>14</v>
      </c>
      <c r="BD941" s="10"/>
      <c r="BE941" s="10" t="s">
        <v>139</v>
      </c>
      <c r="BF941" s="10"/>
      <c r="BG941" s="10">
        <v>0.1</v>
      </c>
      <c r="BH941" s="10"/>
      <c r="BI941" s="10"/>
      <c r="BJ941" s="10"/>
      <c r="BK941" s="10"/>
      <c r="BL941" s="10"/>
      <c r="BM941" s="10"/>
      <c r="BN941" s="10"/>
      <c r="BO941" s="10"/>
      <c r="BP941" s="10"/>
      <c r="BQ941" s="10"/>
      <c r="BR941" s="10" t="s">
        <v>69</v>
      </c>
      <c r="BS941" s="10"/>
      <c r="BT941" s="10"/>
      <c r="BU941" s="10" t="s">
        <v>1966</v>
      </c>
      <c r="BV941">
        <v>24.5</v>
      </c>
      <c r="BW941">
        <v>0.32832910300000001</v>
      </c>
      <c r="BX941">
        <v>22</v>
      </c>
      <c r="BY941">
        <v>23.2</v>
      </c>
      <c r="BZ941">
        <v>0.65665820600000002</v>
      </c>
      <c r="CA941">
        <v>22</v>
      </c>
      <c r="CB941" t="s">
        <v>113</v>
      </c>
      <c r="CC941" t="s">
        <v>1958</v>
      </c>
    </row>
    <row r="942" spans="1:81" x14ac:dyDescent="0.25">
      <c r="A942" s="10" t="s">
        <v>1778</v>
      </c>
      <c r="B942">
        <v>941</v>
      </c>
      <c r="C942" s="10">
        <v>16</v>
      </c>
      <c r="D942" s="10">
        <v>17</v>
      </c>
      <c r="E942" s="10">
        <v>209</v>
      </c>
      <c r="F942" s="10">
        <v>224</v>
      </c>
      <c r="G942" s="10">
        <v>528</v>
      </c>
      <c r="H942" s="10">
        <v>829</v>
      </c>
      <c r="I942" s="10" t="s">
        <v>1961</v>
      </c>
      <c r="J942" s="10" t="s">
        <v>197</v>
      </c>
      <c r="K942" s="10"/>
      <c r="L942" s="10"/>
      <c r="M942" s="10" t="s">
        <v>85</v>
      </c>
      <c r="N942" s="10"/>
      <c r="O942" s="10" t="s">
        <v>14</v>
      </c>
      <c r="P942" s="10" t="s">
        <v>1950</v>
      </c>
      <c r="Q942" s="10" t="s">
        <v>1951</v>
      </c>
      <c r="R942" s="10">
        <v>2013</v>
      </c>
      <c r="S942" s="10" t="s">
        <v>1952</v>
      </c>
      <c r="T942" s="10"/>
      <c r="U942" s="10" t="s">
        <v>1953</v>
      </c>
      <c r="V942" s="10" t="s">
        <v>1954</v>
      </c>
      <c r="W942" s="10" t="s">
        <v>91</v>
      </c>
      <c r="X942" s="10" t="s">
        <v>126</v>
      </c>
      <c r="Y942" s="10" t="s">
        <v>190</v>
      </c>
      <c r="Z942" s="10" t="s">
        <v>191</v>
      </c>
      <c r="AA942" s="10" t="s">
        <v>192</v>
      </c>
      <c r="AB942" s="10" t="s">
        <v>1955</v>
      </c>
      <c r="AC942" s="10" t="s">
        <v>1956</v>
      </c>
      <c r="AD942" s="10" t="s">
        <v>132</v>
      </c>
      <c r="AE942" s="10" t="s">
        <v>133</v>
      </c>
      <c r="AF942" s="10" t="s">
        <v>100</v>
      </c>
      <c r="AG942" s="10" t="s">
        <v>101</v>
      </c>
      <c r="AH942" s="10" t="s">
        <v>102</v>
      </c>
      <c r="AI942" s="10" t="s">
        <v>103</v>
      </c>
      <c r="AJ942" s="10" t="s">
        <v>104</v>
      </c>
      <c r="AK942" s="10">
        <v>90</v>
      </c>
      <c r="AL942" s="10">
        <v>6</v>
      </c>
      <c r="AM942" s="10" t="s">
        <v>105</v>
      </c>
      <c r="AN942" s="10" t="s">
        <v>106</v>
      </c>
      <c r="AO942" s="10">
        <v>54.047179999999997</v>
      </c>
      <c r="AP942" s="10">
        <v>-124.8977</v>
      </c>
      <c r="AQ942" s="10">
        <v>716</v>
      </c>
      <c r="AR942" s="10"/>
      <c r="AS942" s="10">
        <v>2010</v>
      </c>
      <c r="AT942" s="10"/>
      <c r="AU942" s="10"/>
      <c r="AV942" s="10">
        <v>90</v>
      </c>
      <c r="AW942" s="10" t="s">
        <v>108</v>
      </c>
      <c r="AX942" s="10"/>
      <c r="AY942" s="10"/>
      <c r="AZ942" s="10" t="s">
        <v>109</v>
      </c>
      <c r="BA942" s="10" t="s">
        <v>138</v>
      </c>
      <c r="BB942" s="10">
        <v>10</v>
      </c>
      <c r="BC942" s="10">
        <v>14</v>
      </c>
      <c r="BD942" s="10"/>
      <c r="BE942" s="10" t="s">
        <v>139</v>
      </c>
      <c r="BF942" s="10"/>
      <c r="BG942" s="10">
        <v>0.1</v>
      </c>
      <c r="BH942" s="10"/>
      <c r="BI942" s="10"/>
      <c r="BJ942" s="10"/>
      <c r="BK942" s="10"/>
      <c r="BL942" s="10"/>
      <c r="BM942" s="10"/>
      <c r="BN942" s="10"/>
      <c r="BO942" s="10"/>
      <c r="BP942" s="10"/>
      <c r="BQ942" s="10"/>
      <c r="BR942" s="10" t="s">
        <v>69</v>
      </c>
      <c r="BS942" s="10"/>
      <c r="BT942" s="10"/>
      <c r="BU942" s="10" t="s">
        <v>1967</v>
      </c>
      <c r="BV942">
        <v>24.6</v>
      </c>
      <c r="BW942">
        <v>0.28142494600000001</v>
      </c>
      <c r="BX942">
        <v>22</v>
      </c>
      <c r="BY942">
        <v>23.2</v>
      </c>
      <c r="BZ942">
        <v>0.65665820600000002</v>
      </c>
      <c r="CA942">
        <v>22</v>
      </c>
      <c r="CB942" t="s">
        <v>113</v>
      </c>
      <c r="CC942" t="s">
        <v>1958</v>
      </c>
    </row>
    <row r="943" spans="1:81" x14ac:dyDescent="0.25">
      <c r="A943" s="10" t="s">
        <v>1778</v>
      </c>
      <c r="B943">
        <v>942</v>
      </c>
      <c r="C943" s="10">
        <v>16</v>
      </c>
      <c r="D943" s="10">
        <v>17</v>
      </c>
      <c r="E943" s="10">
        <v>210</v>
      </c>
      <c r="F943" s="10">
        <v>225</v>
      </c>
      <c r="G943" s="10">
        <v>529</v>
      </c>
      <c r="H943" s="10">
        <v>830</v>
      </c>
      <c r="I943" s="10" t="s">
        <v>1949</v>
      </c>
      <c r="J943" s="10" t="s">
        <v>197</v>
      </c>
      <c r="K943" s="10"/>
      <c r="L943" s="10"/>
      <c r="M943" s="10" t="s">
        <v>85</v>
      </c>
      <c r="N943" s="10"/>
      <c r="O943" s="10" t="s">
        <v>14</v>
      </c>
      <c r="P943" s="10" t="s">
        <v>1950</v>
      </c>
      <c r="Q943" s="10" t="s">
        <v>1951</v>
      </c>
      <c r="R943" s="10">
        <v>2013</v>
      </c>
      <c r="S943" s="10" t="s">
        <v>1952</v>
      </c>
      <c r="T943" s="10"/>
      <c r="U943" s="10" t="s">
        <v>1953</v>
      </c>
      <c r="V943" s="10" t="s">
        <v>1954</v>
      </c>
      <c r="W943" s="10" t="s">
        <v>91</v>
      </c>
      <c r="X943" s="10" t="s">
        <v>126</v>
      </c>
      <c r="Y943" s="10" t="s">
        <v>190</v>
      </c>
      <c r="Z943" s="10" t="s">
        <v>191</v>
      </c>
      <c r="AA943" s="10" t="s">
        <v>192</v>
      </c>
      <c r="AB943" s="10" t="s">
        <v>1955</v>
      </c>
      <c r="AC943" s="10" t="s">
        <v>1956</v>
      </c>
      <c r="AD943" s="10" t="s">
        <v>132</v>
      </c>
      <c r="AE943" s="10" t="s">
        <v>133</v>
      </c>
      <c r="AF943" s="10" t="s">
        <v>100</v>
      </c>
      <c r="AG943" s="10" t="s">
        <v>101</v>
      </c>
      <c r="AH943" s="10" t="s">
        <v>102</v>
      </c>
      <c r="AI943" s="10" t="s">
        <v>103</v>
      </c>
      <c r="AJ943" s="10" t="s">
        <v>104</v>
      </c>
      <c r="AK943" s="10">
        <v>90</v>
      </c>
      <c r="AL943" s="10">
        <v>6</v>
      </c>
      <c r="AM943" s="10" t="s">
        <v>105</v>
      </c>
      <c r="AN943" s="10" t="s">
        <v>106</v>
      </c>
      <c r="AO943" s="10">
        <v>49.416350000000001</v>
      </c>
      <c r="AP943" s="10">
        <v>-119.61534</v>
      </c>
      <c r="AQ943" s="10">
        <v>276</v>
      </c>
      <c r="AR943" s="10"/>
      <c r="AS943" s="10">
        <v>2010</v>
      </c>
      <c r="AT943" s="10"/>
      <c r="AU943" s="10"/>
      <c r="AV943" s="10">
        <v>90</v>
      </c>
      <c r="AW943" s="10" t="s">
        <v>108</v>
      </c>
      <c r="AX943" s="10"/>
      <c r="AY943" s="10"/>
      <c r="AZ943" s="10" t="s">
        <v>109</v>
      </c>
      <c r="BA943" s="10" t="s">
        <v>138</v>
      </c>
      <c r="BB943" s="10">
        <v>10</v>
      </c>
      <c r="BC943" s="10">
        <v>14</v>
      </c>
      <c r="BD943" s="10"/>
      <c r="BE943" s="10" t="s">
        <v>139</v>
      </c>
      <c r="BF943" s="10"/>
      <c r="BG943" s="10">
        <v>0.1</v>
      </c>
      <c r="BH943" s="10"/>
      <c r="BI943" s="10"/>
      <c r="BJ943" s="10"/>
      <c r="BK943" s="10"/>
      <c r="BL943" s="10"/>
      <c r="BM943" s="10"/>
      <c r="BN943" s="10"/>
      <c r="BO943" s="10"/>
      <c r="BP943" s="10"/>
      <c r="BQ943" s="10"/>
      <c r="BR943" s="10" t="s">
        <v>69</v>
      </c>
      <c r="BS943" s="10"/>
      <c r="BT943" s="10"/>
      <c r="BU943" s="10" t="s">
        <v>1968</v>
      </c>
      <c r="BV943">
        <v>25.6</v>
      </c>
      <c r="BW943">
        <v>0.23452078800000001</v>
      </c>
      <c r="BX943">
        <v>22</v>
      </c>
      <c r="BY943">
        <v>23.4</v>
      </c>
      <c r="BZ943">
        <v>0.51594573399999999</v>
      </c>
      <c r="CA943">
        <v>22</v>
      </c>
      <c r="CB943" t="s">
        <v>113</v>
      </c>
      <c r="CC943" t="s">
        <v>1958</v>
      </c>
    </row>
    <row r="944" spans="1:81" x14ac:dyDescent="0.25">
      <c r="A944" s="10" t="s">
        <v>1778</v>
      </c>
      <c r="B944">
        <v>943</v>
      </c>
      <c r="C944" s="10">
        <v>16</v>
      </c>
      <c r="D944" s="10">
        <v>17</v>
      </c>
      <c r="E944" s="10">
        <v>210</v>
      </c>
      <c r="F944" s="10">
        <v>225</v>
      </c>
      <c r="G944" s="10">
        <v>529</v>
      </c>
      <c r="H944" s="10">
        <v>831</v>
      </c>
      <c r="I944" s="10" t="s">
        <v>1959</v>
      </c>
      <c r="J944" s="10" t="s">
        <v>197</v>
      </c>
      <c r="K944" s="10"/>
      <c r="L944" s="10"/>
      <c r="M944" s="10" t="s">
        <v>85</v>
      </c>
      <c r="N944" s="10"/>
      <c r="O944" s="10" t="s">
        <v>14</v>
      </c>
      <c r="P944" s="10" t="s">
        <v>1950</v>
      </c>
      <c r="Q944" s="10" t="s">
        <v>1951</v>
      </c>
      <c r="R944" s="10">
        <v>2013</v>
      </c>
      <c r="S944" s="10" t="s">
        <v>1952</v>
      </c>
      <c r="T944" s="10"/>
      <c r="U944" s="10" t="s">
        <v>1953</v>
      </c>
      <c r="V944" s="10" t="s">
        <v>1954</v>
      </c>
      <c r="W944" s="10" t="s">
        <v>91</v>
      </c>
      <c r="X944" s="10" t="s">
        <v>126</v>
      </c>
      <c r="Y944" s="10" t="s">
        <v>190</v>
      </c>
      <c r="Z944" s="10" t="s">
        <v>191</v>
      </c>
      <c r="AA944" s="10" t="s">
        <v>192</v>
      </c>
      <c r="AB944" s="10" t="s">
        <v>1955</v>
      </c>
      <c r="AC944" s="10" t="s">
        <v>1956</v>
      </c>
      <c r="AD944" s="10" t="s">
        <v>132</v>
      </c>
      <c r="AE944" s="10" t="s">
        <v>133</v>
      </c>
      <c r="AF944" s="10" t="s">
        <v>100</v>
      </c>
      <c r="AG944" s="10" t="s">
        <v>101</v>
      </c>
      <c r="AH944" s="10" t="s">
        <v>102</v>
      </c>
      <c r="AI944" s="10" t="s">
        <v>103</v>
      </c>
      <c r="AJ944" s="10" t="s">
        <v>104</v>
      </c>
      <c r="AK944" s="10">
        <v>90</v>
      </c>
      <c r="AL944" s="10">
        <v>6</v>
      </c>
      <c r="AM944" s="10" t="s">
        <v>105</v>
      </c>
      <c r="AN944" s="10" t="s">
        <v>106</v>
      </c>
      <c r="AO944" s="10">
        <v>49.416350000000001</v>
      </c>
      <c r="AP944" s="10">
        <v>-119.61534</v>
      </c>
      <c r="AQ944" s="10">
        <v>276</v>
      </c>
      <c r="AR944" s="10"/>
      <c r="AS944" s="10">
        <v>2010</v>
      </c>
      <c r="AT944" s="10"/>
      <c r="AU944" s="10"/>
      <c r="AV944" s="10">
        <v>90</v>
      </c>
      <c r="AW944" s="10" t="s">
        <v>108</v>
      </c>
      <c r="AX944" s="10"/>
      <c r="AY944" s="10"/>
      <c r="AZ944" s="10" t="s">
        <v>109</v>
      </c>
      <c r="BA944" s="10" t="s">
        <v>138</v>
      </c>
      <c r="BB944" s="10">
        <v>14</v>
      </c>
      <c r="BC944" s="10">
        <v>16</v>
      </c>
      <c r="BD944" s="10"/>
      <c r="BE944" s="10" t="s">
        <v>139</v>
      </c>
      <c r="BF944" s="10"/>
      <c r="BG944" s="10">
        <v>0.1</v>
      </c>
      <c r="BH944" s="10"/>
      <c r="BI944" s="10"/>
      <c r="BJ944" s="10"/>
      <c r="BK944" s="10"/>
      <c r="BL944" s="10"/>
      <c r="BM944" s="10"/>
      <c r="BN944" s="10"/>
      <c r="BO944" s="10"/>
      <c r="BP944" s="10"/>
      <c r="BQ944" s="10"/>
      <c r="BR944" s="10" t="s">
        <v>69</v>
      </c>
      <c r="BS944" s="10"/>
      <c r="BT944" s="10"/>
      <c r="BU944" s="10" t="s">
        <v>1968</v>
      </c>
      <c r="BV944">
        <v>23.4</v>
      </c>
      <c r="BW944">
        <v>0.51594573399999999</v>
      </c>
      <c r="BX944">
        <v>22</v>
      </c>
      <c r="BY944">
        <v>22.8</v>
      </c>
      <c r="BZ944">
        <v>1.1726039399999999</v>
      </c>
      <c r="CA944">
        <v>22</v>
      </c>
      <c r="CB944" t="s">
        <v>113</v>
      </c>
      <c r="CC944" t="s">
        <v>1958</v>
      </c>
    </row>
    <row r="945" spans="1:81" x14ac:dyDescent="0.25">
      <c r="A945" s="10" t="s">
        <v>1788</v>
      </c>
      <c r="B945">
        <v>944</v>
      </c>
      <c r="C945" s="10">
        <v>16</v>
      </c>
      <c r="D945" s="10">
        <v>17</v>
      </c>
      <c r="E945" s="10">
        <v>202</v>
      </c>
      <c r="F945" s="10">
        <v>217</v>
      </c>
      <c r="G945" s="10">
        <v>530</v>
      </c>
      <c r="H945" s="10">
        <v>819</v>
      </c>
      <c r="I945" s="10" t="s">
        <v>1961</v>
      </c>
      <c r="J945" s="10" t="s">
        <v>197</v>
      </c>
      <c r="K945" s="10"/>
      <c r="L945" s="10"/>
      <c r="M945" s="10" t="s">
        <v>85</v>
      </c>
      <c r="N945" s="10"/>
      <c r="O945" s="10" t="s">
        <v>14</v>
      </c>
      <c r="P945" s="10" t="s">
        <v>1950</v>
      </c>
      <c r="Q945" s="10" t="s">
        <v>1951</v>
      </c>
      <c r="R945" s="10">
        <v>2013</v>
      </c>
      <c r="S945" s="10" t="s">
        <v>1952</v>
      </c>
      <c r="T945" s="10"/>
      <c r="U945" s="10" t="s">
        <v>1953</v>
      </c>
      <c r="V945" s="10" t="s">
        <v>1954</v>
      </c>
      <c r="W945" s="10" t="s">
        <v>91</v>
      </c>
      <c r="X945" s="10" t="s">
        <v>126</v>
      </c>
      <c r="Y945" s="10" t="s">
        <v>190</v>
      </c>
      <c r="Z945" s="10" t="s">
        <v>191</v>
      </c>
      <c r="AA945" s="10" t="s">
        <v>192</v>
      </c>
      <c r="AB945" s="10" t="s">
        <v>1955</v>
      </c>
      <c r="AC945" s="10" t="s">
        <v>1956</v>
      </c>
      <c r="AD945" s="10" t="s">
        <v>132</v>
      </c>
      <c r="AE945" s="10" t="s">
        <v>133</v>
      </c>
      <c r="AF945" s="10" t="s">
        <v>100</v>
      </c>
      <c r="AG945" s="10" t="s">
        <v>101</v>
      </c>
      <c r="AH945" s="10" t="s">
        <v>102</v>
      </c>
      <c r="AI945" s="10" t="s">
        <v>103</v>
      </c>
      <c r="AJ945" s="10" t="s">
        <v>104</v>
      </c>
      <c r="AK945" s="10">
        <f t="shared" ref="AK945:AK953" si="40">(135+214)/2</f>
        <v>174.5</v>
      </c>
      <c r="AL945" s="10">
        <v>6</v>
      </c>
      <c r="AM945" s="10" t="s">
        <v>105</v>
      </c>
      <c r="AN945" s="10" t="s">
        <v>106</v>
      </c>
      <c r="AO945" s="10">
        <v>49.278770000000002</v>
      </c>
      <c r="AP945" s="10">
        <v>-121.91323</v>
      </c>
      <c r="AQ945" s="10">
        <v>10</v>
      </c>
      <c r="AR945" s="10"/>
      <c r="AS945" s="10">
        <v>2010</v>
      </c>
      <c r="AT945" s="10"/>
      <c r="AU945" s="10">
        <f t="shared" ref="AU945:AU953" si="41">(0.89+1.23)/2</f>
        <v>1.06</v>
      </c>
      <c r="AV945" s="10">
        <f t="shared" ref="AV945:AV953" si="42">(135+214)/2</f>
        <v>174.5</v>
      </c>
      <c r="AW945" s="10" t="s">
        <v>108</v>
      </c>
      <c r="AX945" s="10"/>
      <c r="AY945" s="10"/>
      <c r="AZ945" s="10" t="s">
        <v>109</v>
      </c>
      <c r="BA945" s="10" t="s">
        <v>138</v>
      </c>
      <c r="BB945" s="10">
        <v>10</v>
      </c>
      <c r="BC945" s="10">
        <v>14</v>
      </c>
      <c r="BD945" s="10"/>
      <c r="BE945" s="10" t="s">
        <v>139</v>
      </c>
      <c r="BF945" s="10"/>
      <c r="BG945" s="10">
        <v>0.1</v>
      </c>
      <c r="BH945" s="10"/>
      <c r="BI945" s="10"/>
      <c r="BJ945" s="10"/>
      <c r="BK945" s="10"/>
      <c r="BL945" s="10"/>
      <c r="BM945" s="10"/>
      <c r="BN945" s="10"/>
      <c r="BO945" s="10"/>
      <c r="BP945" s="10"/>
      <c r="BQ945" s="10"/>
      <c r="BR945" s="10" t="s">
        <v>69</v>
      </c>
      <c r="BS945" s="10"/>
      <c r="BT945" s="10"/>
      <c r="BU945" s="10" t="s">
        <v>1969</v>
      </c>
      <c r="BV945">
        <v>25.7</v>
      </c>
      <c r="BW945">
        <v>0.17435595800000001</v>
      </c>
      <c r="BX945">
        <v>19</v>
      </c>
      <c r="BY945">
        <v>25.4</v>
      </c>
      <c r="BZ945">
        <v>0.26153393699999999</v>
      </c>
      <c r="CA945">
        <v>19</v>
      </c>
      <c r="CB945" t="s">
        <v>113</v>
      </c>
      <c r="CC945" t="s">
        <v>1970</v>
      </c>
    </row>
    <row r="946" spans="1:81" x14ac:dyDescent="0.25">
      <c r="A946" s="10" t="s">
        <v>1788</v>
      </c>
      <c r="B946">
        <v>945</v>
      </c>
      <c r="C946" s="10">
        <v>16</v>
      </c>
      <c r="D946" s="10">
        <v>17</v>
      </c>
      <c r="E946" s="10">
        <v>203</v>
      </c>
      <c r="F946" s="10">
        <v>218</v>
      </c>
      <c r="G946" s="10">
        <v>531</v>
      </c>
      <c r="H946" s="10">
        <v>821</v>
      </c>
      <c r="I946" s="10" t="s">
        <v>1961</v>
      </c>
      <c r="J946" s="10" t="s">
        <v>197</v>
      </c>
      <c r="K946" s="10"/>
      <c r="L946" s="10"/>
      <c r="M946" s="10" t="s">
        <v>85</v>
      </c>
      <c r="N946" s="10"/>
      <c r="O946" s="10" t="s">
        <v>14</v>
      </c>
      <c r="P946" s="10" t="s">
        <v>1950</v>
      </c>
      <c r="Q946" s="10" t="s">
        <v>1951</v>
      </c>
      <c r="R946" s="10">
        <v>2013</v>
      </c>
      <c r="S946" s="10" t="s">
        <v>1952</v>
      </c>
      <c r="T946" s="10"/>
      <c r="U946" s="10" t="s">
        <v>1953</v>
      </c>
      <c r="V946" s="10" t="s">
        <v>1954</v>
      </c>
      <c r="W946" s="10" t="s">
        <v>91</v>
      </c>
      <c r="X946" s="10" t="s">
        <v>126</v>
      </c>
      <c r="Y946" s="10" t="s">
        <v>190</v>
      </c>
      <c r="Z946" s="10" t="s">
        <v>191</v>
      </c>
      <c r="AA946" s="10" t="s">
        <v>192</v>
      </c>
      <c r="AB946" s="10" t="s">
        <v>1955</v>
      </c>
      <c r="AC946" s="10" t="s">
        <v>1956</v>
      </c>
      <c r="AD946" s="10" t="s">
        <v>132</v>
      </c>
      <c r="AE946" s="10" t="s">
        <v>133</v>
      </c>
      <c r="AF946" s="10" t="s">
        <v>100</v>
      </c>
      <c r="AG946" s="10" t="s">
        <v>101</v>
      </c>
      <c r="AH946" s="10" t="s">
        <v>102</v>
      </c>
      <c r="AI946" s="10" t="s">
        <v>103</v>
      </c>
      <c r="AJ946" s="10" t="s">
        <v>104</v>
      </c>
      <c r="AK946" s="10">
        <f t="shared" si="40"/>
        <v>174.5</v>
      </c>
      <c r="AL946" s="10">
        <v>6</v>
      </c>
      <c r="AM946" s="10" t="s">
        <v>105</v>
      </c>
      <c r="AN946" s="10" t="s">
        <v>106</v>
      </c>
      <c r="AO946" s="10">
        <v>49.352330000000002</v>
      </c>
      <c r="AP946" s="10">
        <v>-121.87797999999999</v>
      </c>
      <c r="AQ946" s="10">
        <v>10</v>
      </c>
      <c r="AR946" s="10"/>
      <c r="AS946" s="10">
        <v>2010</v>
      </c>
      <c r="AT946" s="10"/>
      <c r="AU946" s="10">
        <f t="shared" si="41"/>
        <v>1.06</v>
      </c>
      <c r="AV946" s="10">
        <f t="shared" si="42"/>
        <v>174.5</v>
      </c>
      <c r="AW946" s="10" t="s">
        <v>108</v>
      </c>
      <c r="AX946" s="10"/>
      <c r="AY946" s="10"/>
      <c r="AZ946" s="10" t="s">
        <v>109</v>
      </c>
      <c r="BA946" s="10" t="s">
        <v>138</v>
      </c>
      <c r="BB946" s="10">
        <v>10</v>
      </c>
      <c r="BC946" s="10">
        <v>14</v>
      </c>
      <c r="BD946" s="10"/>
      <c r="BE946" s="10" t="s">
        <v>139</v>
      </c>
      <c r="BF946" s="10"/>
      <c r="BG946" s="10">
        <v>0.1</v>
      </c>
      <c r="BH946" s="10"/>
      <c r="BI946" s="10"/>
      <c r="BJ946" s="10"/>
      <c r="BK946" s="10"/>
      <c r="BL946" s="10"/>
      <c r="BM946" s="10"/>
      <c r="BN946" s="10"/>
      <c r="BO946" s="10"/>
      <c r="BP946" s="10"/>
      <c r="BQ946" s="10"/>
      <c r="BR946" s="10" t="s">
        <v>69</v>
      </c>
      <c r="BS946" s="10"/>
      <c r="BT946" s="10"/>
      <c r="BU946" s="10" t="s">
        <v>1971</v>
      </c>
      <c r="BV946">
        <v>25.6</v>
      </c>
      <c r="BW946">
        <v>0.217944947</v>
      </c>
      <c r="BX946">
        <v>19</v>
      </c>
      <c r="BY946">
        <v>25.1</v>
      </c>
      <c r="BZ946">
        <v>0.56665686299999996</v>
      </c>
      <c r="CA946">
        <v>19</v>
      </c>
      <c r="CB946" t="s">
        <v>113</v>
      </c>
      <c r="CC946" t="s">
        <v>1970</v>
      </c>
    </row>
    <row r="947" spans="1:81" x14ac:dyDescent="0.25">
      <c r="A947" s="10" t="s">
        <v>1788</v>
      </c>
      <c r="B947">
        <v>946</v>
      </c>
      <c r="C947" s="10">
        <v>16</v>
      </c>
      <c r="D947" s="10">
        <v>17</v>
      </c>
      <c r="E947" s="10">
        <v>204</v>
      </c>
      <c r="F947" s="10">
        <v>219</v>
      </c>
      <c r="G947" s="10">
        <v>532</v>
      </c>
      <c r="H947" s="10">
        <v>823</v>
      </c>
      <c r="I947" s="10" t="s">
        <v>1961</v>
      </c>
      <c r="J947" s="10" t="s">
        <v>197</v>
      </c>
      <c r="K947" s="10"/>
      <c r="L947" s="10"/>
      <c r="M947" s="10" t="s">
        <v>85</v>
      </c>
      <c r="N947" s="10"/>
      <c r="O947" s="10" t="s">
        <v>14</v>
      </c>
      <c r="P947" s="10" t="s">
        <v>1950</v>
      </c>
      <c r="Q947" s="10" t="s">
        <v>1951</v>
      </c>
      <c r="R947" s="10">
        <v>2013</v>
      </c>
      <c r="S947" s="10" t="s">
        <v>1952</v>
      </c>
      <c r="T947" s="10"/>
      <c r="U947" s="10" t="s">
        <v>1953</v>
      </c>
      <c r="V947" s="10" t="s">
        <v>1954</v>
      </c>
      <c r="W947" s="10" t="s">
        <v>91</v>
      </c>
      <c r="X947" s="10" t="s">
        <v>126</v>
      </c>
      <c r="Y947" s="10" t="s">
        <v>190</v>
      </c>
      <c r="Z947" s="10" t="s">
        <v>191</v>
      </c>
      <c r="AA947" s="10" t="s">
        <v>192</v>
      </c>
      <c r="AB947" s="10" t="s">
        <v>1955</v>
      </c>
      <c r="AC947" s="10" t="s">
        <v>1956</v>
      </c>
      <c r="AD947" s="10" t="s">
        <v>132</v>
      </c>
      <c r="AE947" s="10" t="s">
        <v>133</v>
      </c>
      <c r="AF947" s="10" t="s">
        <v>100</v>
      </c>
      <c r="AG947" s="10" t="s">
        <v>101</v>
      </c>
      <c r="AH947" s="10" t="s">
        <v>102</v>
      </c>
      <c r="AI947" s="10" t="s">
        <v>103</v>
      </c>
      <c r="AJ947" s="10" t="s">
        <v>104</v>
      </c>
      <c r="AK947" s="10">
        <f t="shared" si="40"/>
        <v>174.5</v>
      </c>
      <c r="AL947" s="10">
        <v>6</v>
      </c>
      <c r="AM947" s="10" t="s">
        <v>105</v>
      </c>
      <c r="AN947" s="10" t="s">
        <v>106</v>
      </c>
      <c r="AO947" s="10">
        <v>51.675020000000004</v>
      </c>
      <c r="AP947" s="10">
        <v>-120.05423</v>
      </c>
      <c r="AQ947" s="10">
        <v>280</v>
      </c>
      <c r="AR947" s="10"/>
      <c r="AS947" s="10">
        <v>2010</v>
      </c>
      <c r="AT947" s="10"/>
      <c r="AU947" s="10">
        <f t="shared" si="41"/>
        <v>1.06</v>
      </c>
      <c r="AV947" s="10">
        <f t="shared" si="42"/>
        <v>174.5</v>
      </c>
      <c r="AW947" s="10" t="s">
        <v>108</v>
      </c>
      <c r="AX947" s="10"/>
      <c r="AY947" s="10"/>
      <c r="AZ947" s="10" t="s">
        <v>109</v>
      </c>
      <c r="BA947" s="10" t="s">
        <v>138</v>
      </c>
      <c r="BB947" s="10">
        <v>10</v>
      </c>
      <c r="BC947" s="10">
        <v>14</v>
      </c>
      <c r="BD947" s="10"/>
      <c r="BE947" s="10" t="s">
        <v>139</v>
      </c>
      <c r="BF947" s="10"/>
      <c r="BG947" s="10">
        <v>0.1</v>
      </c>
      <c r="BH947" s="10"/>
      <c r="BI947" s="10"/>
      <c r="BJ947" s="10"/>
      <c r="BK947" s="10"/>
      <c r="BL947" s="10"/>
      <c r="BM947" s="10"/>
      <c r="BN947" s="10"/>
      <c r="BO947" s="10"/>
      <c r="BP947" s="10"/>
      <c r="BQ947" s="10"/>
      <c r="BR947" s="10" t="s">
        <v>69</v>
      </c>
      <c r="BS947" s="10"/>
      <c r="BT947" s="10"/>
      <c r="BU947" s="10" t="s">
        <v>1972</v>
      </c>
      <c r="BV947">
        <v>25.3</v>
      </c>
      <c r="BW947">
        <v>0.65383484199999997</v>
      </c>
      <c r="BX947">
        <v>19</v>
      </c>
      <c r="BY947">
        <v>25.6</v>
      </c>
      <c r="BZ947">
        <v>0.34871191499999998</v>
      </c>
      <c r="CA947">
        <v>19</v>
      </c>
      <c r="CB947" t="s">
        <v>113</v>
      </c>
      <c r="CC947" t="s">
        <v>1970</v>
      </c>
    </row>
    <row r="948" spans="1:81" x14ac:dyDescent="0.25">
      <c r="A948" s="10" t="s">
        <v>1788</v>
      </c>
      <c r="B948">
        <v>947</v>
      </c>
      <c r="C948" s="10">
        <v>16</v>
      </c>
      <c r="D948" s="10">
        <v>17</v>
      </c>
      <c r="E948" s="10">
        <v>205</v>
      </c>
      <c r="F948" s="10">
        <v>220</v>
      </c>
      <c r="G948" s="10">
        <v>533</v>
      </c>
      <c r="H948" s="10">
        <v>824</v>
      </c>
      <c r="I948" s="10" t="s">
        <v>1961</v>
      </c>
      <c r="J948" s="10" t="s">
        <v>197</v>
      </c>
      <c r="K948" s="10"/>
      <c r="L948" s="10"/>
      <c r="M948" s="10" t="s">
        <v>85</v>
      </c>
      <c r="N948" s="10"/>
      <c r="O948" s="10" t="s">
        <v>14</v>
      </c>
      <c r="P948" s="10" t="s">
        <v>1950</v>
      </c>
      <c r="Q948" s="10" t="s">
        <v>1951</v>
      </c>
      <c r="R948" s="10">
        <v>2013</v>
      </c>
      <c r="S948" s="10" t="s">
        <v>1952</v>
      </c>
      <c r="T948" s="10"/>
      <c r="U948" s="10" t="s">
        <v>1953</v>
      </c>
      <c r="V948" s="10" t="s">
        <v>1954</v>
      </c>
      <c r="W948" s="10" t="s">
        <v>91</v>
      </c>
      <c r="X948" s="10" t="s">
        <v>126</v>
      </c>
      <c r="Y948" s="10" t="s">
        <v>190</v>
      </c>
      <c r="Z948" s="10" t="s">
        <v>191</v>
      </c>
      <c r="AA948" s="10" t="s">
        <v>192</v>
      </c>
      <c r="AB948" s="10" t="s">
        <v>1955</v>
      </c>
      <c r="AC948" s="10" t="s">
        <v>1956</v>
      </c>
      <c r="AD948" s="10" t="s">
        <v>132</v>
      </c>
      <c r="AE948" s="10" t="s">
        <v>133</v>
      </c>
      <c r="AF948" s="10" t="s">
        <v>100</v>
      </c>
      <c r="AG948" s="10" t="s">
        <v>101</v>
      </c>
      <c r="AH948" s="10" t="s">
        <v>102</v>
      </c>
      <c r="AI948" s="10" t="s">
        <v>103</v>
      </c>
      <c r="AJ948" s="10" t="s">
        <v>104</v>
      </c>
      <c r="AK948" s="10">
        <f t="shared" si="40"/>
        <v>174.5</v>
      </c>
      <c r="AL948" s="10">
        <v>6</v>
      </c>
      <c r="AM948" s="10" t="s">
        <v>105</v>
      </c>
      <c r="AN948" s="10" t="s">
        <v>106</v>
      </c>
      <c r="AO948" s="10">
        <v>50.90408</v>
      </c>
      <c r="AP948" s="10">
        <v>-119.4585</v>
      </c>
      <c r="AQ948" s="10">
        <v>366</v>
      </c>
      <c r="AR948" s="10"/>
      <c r="AS948" s="10">
        <v>2010</v>
      </c>
      <c r="AT948" s="10"/>
      <c r="AU948" s="10">
        <f t="shared" si="41"/>
        <v>1.06</v>
      </c>
      <c r="AV948" s="10">
        <f t="shared" si="42"/>
        <v>174.5</v>
      </c>
      <c r="AW948" s="10" t="s">
        <v>108</v>
      </c>
      <c r="AX948" s="10"/>
      <c r="AY948" s="10"/>
      <c r="AZ948" s="10" t="s">
        <v>109</v>
      </c>
      <c r="BA948" s="10" t="s">
        <v>138</v>
      </c>
      <c r="BB948" s="10">
        <v>10</v>
      </c>
      <c r="BC948" s="10">
        <v>14</v>
      </c>
      <c r="BD948" s="10"/>
      <c r="BE948" s="10" t="s">
        <v>139</v>
      </c>
      <c r="BF948" s="10"/>
      <c r="BG948" s="10">
        <v>0.1</v>
      </c>
      <c r="BH948" s="10"/>
      <c r="BI948" s="10"/>
      <c r="BJ948" s="10"/>
      <c r="BK948" s="10"/>
      <c r="BL948" s="10"/>
      <c r="BM948" s="10"/>
      <c r="BN948" s="10"/>
      <c r="BO948" s="10"/>
      <c r="BP948" s="10"/>
      <c r="BQ948" s="10"/>
      <c r="BR948" s="10" t="s">
        <v>69</v>
      </c>
      <c r="BS948" s="10"/>
      <c r="BT948" s="10"/>
      <c r="BU948" s="10" t="s">
        <v>1973</v>
      </c>
      <c r="BV948">
        <v>26.1</v>
      </c>
      <c r="BW948">
        <v>0.13076696800000001</v>
      </c>
      <c r="BX948">
        <v>19</v>
      </c>
      <c r="BY948">
        <v>25.5</v>
      </c>
      <c r="BZ948">
        <v>0.435889894</v>
      </c>
      <c r="CA948">
        <v>19</v>
      </c>
      <c r="CB948" t="s">
        <v>113</v>
      </c>
      <c r="CC948" t="s">
        <v>1970</v>
      </c>
    </row>
    <row r="949" spans="1:81" x14ac:dyDescent="0.25">
      <c r="A949" s="10" t="s">
        <v>1788</v>
      </c>
      <c r="B949">
        <v>948</v>
      </c>
      <c r="C949" s="10">
        <v>16</v>
      </c>
      <c r="D949" s="10">
        <v>17</v>
      </c>
      <c r="E949" s="10">
        <v>206</v>
      </c>
      <c r="F949" s="10">
        <v>221</v>
      </c>
      <c r="G949" s="10">
        <v>534</v>
      </c>
      <c r="H949" s="10">
        <v>825</v>
      </c>
      <c r="I949" s="10" t="s">
        <v>1961</v>
      </c>
      <c r="J949" s="10" t="s">
        <v>197</v>
      </c>
      <c r="K949" s="10"/>
      <c r="L949" s="10"/>
      <c r="M949" s="10" t="s">
        <v>85</v>
      </c>
      <c r="N949" s="10"/>
      <c r="O949" s="10" t="s">
        <v>14</v>
      </c>
      <c r="P949" s="10" t="s">
        <v>1950</v>
      </c>
      <c r="Q949" s="10" t="s">
        <v>1951</v>
      </c>
      <c r="R949" s="10">
        <v>2013</v>
      </c>
      <c r="S949" s="10" t="s">
        <v>1952</v>
      </c>
      <c r="T949" s="10"/>
      <c r="U949" s="10" t="s">
        <v>1953</v>
      </c>
      <c r="V949" s="10" t="s">
        <v>1954</v>
      </c>
      <c r="W949" s="10" t="s">
        <v>91</v>
      </c>
      <c r="X949" s="10" t="s">
        <v>126</v>
      </c>
      <c r="Y949" s="10" t="s">
        <v>190</v>
      </c>
      <c r="Z949" s="10" t="s">
        <v>191</v>
      </c>
      <c r="AA949" s="10" t="s">
        <v>192</v>
      </c>
      <c r="AB949" s="10" t="s">
        <v>1955</v>
      </c>
      <c r="AC949" s="10" t="s">
        <v>1956</v>
      </c>
      <c r="AD949" s="10" t="s">
        <v>132</v>
      </c>
      <c r="AE949" s="10" t="s">
        <v>133</v>
      </c>
      <c r="AF949" s="10" t="s">
        <v>100</v>
      </c>
      <c r="AG949" s="10" t="s">
        <v>101</v>
      </c>
      <c r="AH949" s="10" t="s">
        <v>102</v>
      </c>
      <c r="AI949" s="10" t="s">
        <v>103</v>
      </c>
      <c r="AJ949" s="10" t="s">
        <v>104</v>
      </c>
      <c r="AK949" s="10">
        <f t="shared" si="40"/>
        <v>174.5</v>
      </c>
      <c r="AL949" s="10">
        <v>6</v>
      </c>
      <c r="AM949" s="10" t="s">
        <v>105</v>
      </c>
      <c r="AN949" s="10" t="s">
        <v>106</v>
      </c>
      <c r="AO949" s="10">
        <v>50.899470000000001</v>
      </c>
      <c r="AP949" s="10">
        <v>-119.56876</v>
      </c>
      <c r="AQ949" s="10">
        <v>366</v>
      </c>
      <c r="AR949" s="10"/>
      <c r="AS949" s="10">
        <v>2010</v>
      </c>
      <c r="AT949" s="10"/>
      <c r="AU949" s="10">
        <f t="shared" si="41"/>
        <v>1.06</v>
      </c>
      <c r="AV949" s="10">
        <f t="shared" si="42"/>
        <v>174.5</v>
      </c>
      <c r="AW949" s="10" t="s">
        <v>108</v>
      </c>
      <c r="AX949" s="10"/>
      <c r="AY949" s="10"/>
      <c r="AZ949" s="10" t="s">
        <v>109</v>
      </c>
      <c r="BA949" s="10" t="s">
        <v>138</v>
      </c>
      <c r="BB949" s="10">
        <v>10</v>
      </c>
      <c r="BC949" s="10">
        <v>14</v>
      </c>
      <c r="BD949" s="10"/>
      <c r="BE949" s="10" t="s">
        <v>139</v>
      </c>
      <c r="BF949" s="10"/>
      <c r="BG949" s="10">
        <v>0.1</v>
      </c>
      <c r="BH949" s="10"/>
      <c r="BI949" s="10"/>
      <c r="BJ949" s="10"/>
      <c r="BK949" s="10"/>
      <c r="BL949" s="10"/>
      <c r="BM949" s="10"/>
      <c r="BN949" s="10"/>
      <c r="BO949" s="10"/>
      <c r="BP949" s="10"/>
      <c r="BQ949" s="10"/>
      <c r="BR949" s="10" t="s">
        <v>69</v>
      </c>
      <c r="BS949" s="10"/>
      <c r="BT949" s="10"/>
      <c r="BU949" s="10" t="s">
        <v>1974</v>
      </c>
      <c r="BV949">
        <v>25.7</v>
      </c>
      <c r="BW949">
        <v>0.13076696800000001</v>
      </c>
      <c r="BX949">
        <v>19</v>
      </c>
      <c r="BY949">
        <v>25.4</v>
      </c>
      <c r="BZ949">
        <v>0.217944947</v>
      </c>
      <c r="CA949">
        <v>19</v>
      </c>
      <c r="CB949" t="s">
        <v>113</v>
      </c>
      <c r="CC949" t="s">
        <v>1970</v>
      </c>
    </row>
    <row r="950" spans="1:81" x14ac:dyDescent="0.25">
      <c r="A950" s="10" t="s">
        <v>1788</v>
      </c>
      <c r="B950">
        <v>949</v>
      </c>
      <c r="C950" s="10">
        <v>16</v>
      </c>
      <c r="D950" s="10">
        <v>17</v>
      </c>
      <c r="E950" s="10">
        <v>207</v>
      </c>
      <c r="F950" s="10">
        <v>222</v>
      </c>
      <c r="G950" s="10">
        <v>535</v>
      </c>
      <c r="H950" s="10">
        <v>827</v>
      </c>
      <c r="I950" s="10" t="s">
        <v>1961</v>
      </c>
      <c r="J950" s="10" t="s">
        <v>197</v>
      </c>
      <c r="K950" s="10"/>
      <c r="L950" s="10"/>
      <c r="M950" s="10" t="s">
        <v>85</v>
      </c>
      <c r="N950" s="10"/>
      <c r="O950" s="10" t="s">
        <v>14</v>
      </c>
      <c r="P950" s="10" t="s">
        <v>1950</v>
      </c>
      <c r="Q950" s="10" t="s">
        <v>1951</v>
      </c>
      <c r="R950" s="10">
        <v>2013</v>
      </c>
      <c r="S950" s="10" t="s">
        <v>1952</v>
      </c>
      <c r="T950" s="10"/>
      <c r="U950" s="10" t="s">
        <v>1953</v>
      </c>
      <c r="V950" s="10" t="s">
        <v>1954</v>
      </c>
      <c r="W950" s="10" t="s">
        <v>91</v>
      </c>
      <c r="X950" s="10" t="s">
        <v>126</v>
      </c>
      <c r="Y950" s="10" t="s">
        <v>190</v>
      </c>
      <c r="Z950" s="10" t="s">
        <v>191</v>
      </c>
      <c r="AA950" s="10" t="s">
        <v>192</v>
      </c>
      <c r="AB950" s="10" t="s">
        <v>1955</v>
      </c>
      <c r="AC950" s="10" t="s">
        <v>1956</v>
      </c>
      <c r="AD950" s="10" t="s">
        <v>132</v>
      </c>
      <c r="AE950" s="10" t="s">
        <v>133</v>
      </c>
      <c r="AF950" s="10" t="s">
        <v>100</v>
      </c>
      <c r="AG950" s="10" t="s">
        <v>101</v>
      </c>
      <c r="AH950" s="10" t="s">
        <v>102</v>
      </c>
      <c r="AI950" s="10" t="s">
        <v>103</v>
      </c>
      <c r="AJ950" s="10" t="s">
        <v>104</v>
      </c>
      <c r="AK950" s="10">
        <f t="shared" si="40"/>
        <v>174.5</v>
      </c>
      <c r="AL950" s="10">
        <v>6</v>
      </c>
      <c r="AM950" s="10" t="s">
        <v>105</v>
      </c>
      <c r="AN950" s="10" t="s">
        <v>106</v>
      </c>
      <c r="AO950" s="10">
        <v>51.297939999999997</v>
      </c>
      <c r="AP950" s="10">
        <v>-124.06291</v>
      </c>
      <c r="AQ950" s="10">
        <v>1174</v>
      </c>
      <c r="AR950" s="10"/>
      <c r="AS950" s="10">
        <v>2010</v>
      </c>
      <c r="AT950" s="10"/>
      <c r="AU950" s="10">
        <f t="shared" si="41"/>
        <v>1.06</v>
      </c>
      <c r="AV950" s="10">
        <f t="shared" si="42"/>
        <v>174.5</v>
      </c>
      <c r="AW950" s="10" t="s">
        <v>108</v>
      </c>
      <c r="AX950" s="10"/>
      <c r="AY950" s="10"/>
      <c r="AZ950" s="10" t="s">
        <v>109</v>
      </c>
      <c r="BA950" s="10" t="s">
        <v>138</v>
      </c>
      <c r="BB950" s="10">
        <v>10</v>
      </c>
      <c r="BC950" s="10">
        <v>14</v>
      </c>
      <c r="BD950" s="10"/>
      <c r="BE950" s="10" t="s">
        <v>139</v>
      </c>
      <c r="BF950" s="10"/>
      <c r="BG950" s="10">
        <v>0.1</v>
      </c>
      <c r="BH950" s="10"/>
      <c r="BI950" s="10"/>
      <c r="BJ950" s="10"/>
      <c r="BK950" s="10"/>
      <c r="BL950" s="10"/>
      <c r="BM950" s="10"/>
      <c r="BN950" s="10"/>
      <c r="BO950" s="10"/>
      <c r="BP950" s="10"/>
      <c r="BQ950" s="10"/>
      <c r="BR950" s="10" t="s">
        <v>69</v>
      </c>
      <c r="BS950" s="10"/>
      <c r="BT950" s="10"/>
      <c r="BU950" s="10" t="s">
        <v>1975</v>
      </c>
      <c r="BV950">
        <v>25.7</v>
      </c>
      <c r="BW950">
        <v>0.217944947</v>
      </c>
      <c r="BX950">
        <v>19</v>
      </c>
      <c r="BY950">
        <v>25.6</v>
      </c>
      <c r="BZ950">
        <v>0.217944947</v>
      </c>
      <c r="CA950">
        <v>19</v>
      </c>
      <c r="CB950" t="s">
        <v>113</v>
      </c>
      <c r="CC950" t="s">
        <v>1970</v>
      </c>
    </row>
    <row r="951" spans="1:81" x14ac:dyDescent="0.25">
      <c r="A951" s="10" t="s">
        <v>1788</v>
      </c>
      <c r="B951">
        <v>950</v>
      </c>
      <c r="C951" s="10">
        <v>16</v>
      </c>
      <c r="D951" s="10">
        <v>17</v>
      </c>
      <c r="E951" s="10">
        <v>208</v>
      </c>
      <c r="F951" s="10">
        <v>223</v>
      </c>
      <c r="G951" s="10">
        <v>536</v>
      </c>
      <c r="H951" s="10">
        <v>828</v>
      </c>
      <c r="I951" s="10" t="s">
        <v>1961</v>
      </c>
      <c r="J951" s="10" t="s">
        <v>197</v>
      </c>
      <c r="K951" s="10"/>
      <c r="L951" s="10"/>
      <c r="M951" s="10" t="s">
        <v>85</v>
      </c>
      <c r="N951" s="10"/>
      <c r="O951" s="10" t="s">
        <v>14</v>
      </c>
      <c r="P951" s="10" t="s">
        <v>1950</v>
      </c>
      <c r="Q951" s="10" t="s">
        <v>1951</v>
      </c>
      <c r="R951" s="10">
        <v>2013</v>
      </c>
      <c r="S951" s="10" t="s">
        <v>1952</v>
      </c>
      <c r="T951" s="10"/>
      <c r="U951" s="10" t="s">
        <v>1953</v>
      </c>
      <c r="V951" s="10" t="s">
        <v>1954</v>
      </c>
      <c r="W951" s="10" t="s">
        <v>91</v>
      </c>
      <c r="X951" s="10" t="s">
        <v>126</v>
      </c>
      <c r="Y951" s="10" t="s">
        <v>190</v>
      </c>
      <c r="Z951" s="10" t="s">
        <v>191</v>
      </c>
      <c r="AA951" s="10" t="s">
        <v>192</v>
      </c>
      <c r="AB951" s="10" t="s">
        <v>1955</v>
      </c>
      <c r="AC951" s="10" t="s">
        <v>1956</v>
      </c>
      <c r="AD951" s="10" t="s">
        <v>132</v>
      </c>
      <c r="AE951" s="10" t="s">
        <v>133</v>
      </c>
      <c r="AF951" s="10" t="s">
        <v>100</v>
      </c>
      <c r="AG951" s="10" t="s">
        <v>101</v>
      </c>
      <c r="AH951" s="10" t="s">
        <v>102</v>
      </c>
      <c r="AI951" s="10" t="s">
        <v>103</v>
      </c>
      <c r="AJ951" s="10" t="s">
        <v>104</v>
      </c>
      <c r="AK951" s="10">
        <f t="shared" si="40"/>
        <v>174.5</v>
      </c>
      <c r="AL951" s="10">
        <v>6</v>
      </c>
      <c r="AM951" s="10" t="s">
        <v>105</v>
      </c>
      <c r="AN951" s="10" t="s">
        <v>106</v>
      </c>
      <c r="AO951" s="10">
        <v>52.423769999999998</v>
      </c>
      <c r="AP951" s="10">
        <v>-121.01242000000001</v>
      </c>
      <c r="AQ951" s="10">
        <v>728</v>
      </c>
      <c r="AR951" s="10"/>
      <c r="AS951" s="10">
        <v>2010</v>
      </c>
      <c r="AT951" s="10"/>
      <c r="AU951" s="10">
        <f t="shared" si="41"/>
        <v>1.06</v>
      </c>
      <c r="AV951" s="10">
        <f t="shared" si="42"/>
        <v>174.5</v>
      </c>
      <c r="AW951" s="10" t="s">
        <v>108</v>
      </c>
      <c r="AX951" s="10"/>
      <c r="AY951" s="10"/>
      <c r="AZ951" s="10" t="s">
        <v>109</v>
      </c>
      <c r="BA951" s="10" t="s">
        <v>138</v>
      </c>
      <c r="BB951" s="10">
        <v>10</v>
      </c>
      <c r="BC951" s="10">
        <v>14</v>
      </c>
      <c r="BD951" s="10"/>
      <c r="BE951" s="10" t="s">
        <v>139</v>
      </c>
      <c r="BF951" s="10"/>
      <c r="BG951" s="10">
        <v>0.1</v>
      </c>
      <c r="BH951" s="10"/>
      <c r="BI951" s="10"/>
      <c r="BJ951" s="10"/>
      <c r="BK951" s="10"/>
      <c r="BL951" s="10"/>
      <c r="BM951" s="10"/>
      <c r="BN951" s="10"/>
      <c r="BO951" s="10"/>
      <c r="BP951" s="10"/>
      <c r="BQ951" s="10"/>
      <c r="BR951" s="10" t="s">
        <v>69</v>
      </c>
      <c r="BS951" s="10"/>
      <c r="BT951" s="10"/>
      <c r="BU951" s="10" t="s">
        <v>1976</v>
      </c>
      <c r="BV951">
        <v>25.8</v>
      </c>
      <c r="BW951">
        <v>0.17435595800000001</v>
      </c>
      <c r="BX951">
        <v>19</v>
      </c>
      <c r="BY951">
        <v>25.5</v>
      </c>
      <c r="BZ951">
        <v>0.34871191499999998</v>
      </c>
      <c r="CA951">
        <v>19</v>
      </c>
      <c r="CB951" t="s">
        <v>113</v>
      </c>
      <c r="CC951" t="s">
        <v>1970</v>
      </c>
    </row>
    <row r="952" spans="1:81" x14ac:dyDescent="0.25">
      <c r="A952" s="10" t="s">
        <v>1788</v>
      </c>
      <c r="B952">
        <v>951</v>
      </c>
      <c r="C952" s="10">
        <v>16</v>
      </c>
      <c r="D952" s="10">
        <v>17</v>
      </c>
      <c r="E952" s="10">
        <v>209</v>
      </c>
      <c r="F952" s="10">
        <v>224</v>
      </c>
      <c r="G952" s="10">
        <v>537</v>
      </c>
      <c r="H952" s="10">
        <v>829</v>
      </c>
      <c r="I952" s="10" t="s">
        <v>1961</v>
      </c>
      <c r="J952" s="10" t="s">
        <v>197</v>
      </c>
      <c r="K952" s="10"/>
      <c r="L952" s="10"/>
      <c r="M952" s="10" t="s">
        <v>85</v>
      </c>
      <c r="N952" s="10"/>
      <c r="O952" s="10" t="s">
        <v>14</v>
      </c>
      <c r="P952" s="10" t="s">
        <v>1950</v>
      </c>
      <c r="Q952" s="10" t="s">
        <v>1951</v>
      </c>
      <c r="R952" s="10">
        <v>2013</v>
      </c>
      <c r="S952" s="10" t="s">
        <v>1952</v>
      </c>
      <c r="T952" s="10"/>
      <c r="U952" s="10" t="s">
        <v>1953</v>
      </c>
      <c r="V952" s="10" t="s">
        <v>1954</v>
      </c>
      <c r="W952" s="10" t="s">
        <v>91</v>
      </c>
      <c r="X952" s="10" t="s">
        <v>126</v>
      </c>
      <c r="Y952" s="10" t="s">
        <v>190</v>
      </c>
      <c r="Z952" s="10" t="s">
        <v>191</v>
      </c>
      <c r="AA952" s="10" t="s">
        <v>192</v>
      </c>
      <c r="AB952" s="10" t="s">
        <v>1955</v>
      </c>
      <c r="AC952" s="10" t="s">
        <v>1956</v>
      </c>
      <c r="AD952" s="10" t="s">
        <v>132</v>
      </c>
      <c r="AE952" s="10" t="s">
        <v>133</v>
      </c>
      <c r="AF952" s="10" t="s">
        <v>100</v>
      </c>
      <c r="AG952" s="10" t="s">
        <v>101</v>
      </c>
      <c r="AH952" s="10" t="s">
        <v>102</v>
      </c>
      <c r="AI952" s="10" t="s">
        <v>103</v>
      </c>
      <c r="AJ952" s="10" t="s">
        <v>104</v>
      </c>
      <c r="AK952" s="10">
        <f t="shared" si="40"/>
        <v>174.5</v>
      </c>
      <c r="AL952" s="10">
        <v>6</v>
      </c>
      <c r="AM952" s="10" t="s">
        <v>105</v>
      </c>
      <c r="AN952" s="10" t="s">
        <v>106</v>
      </c>
      <c r="AO952" s="10">
        <v>54.047179999999997</v>
      </c>
      <c r="AP952" s="10">
        <v>-124.8977</v>
      </c>
      <c r="AQ952" s="10">
        <v>716</v>
      </c>
      <c r="AR952" s="10"/>
      <c r="AS952" s="10">
        <v>2010</v>
      </c>
      <c r="AT952" s="10"/>
      <c r="AU952" s="10">
        <f t="shared" si="41"/>
        <v>1.06</v>
      </c>
      <c r="AV952" s="10">
        <f t="shared" si="42"/>
        <v>174.5</v>
      </c>
      <c r="AW952" s="10" t="s">
        <v>108</v>
      </c>
      <c r="AX952" s="10"/>
      <c r="AY952" s="10"/>
      <c r="AZ952" s="10" t="s">
        <v>109</v>
      </c>
      <c r="BA952" s="10" t="s">
        <v>138</v>
      </c>
      <c r="BB952" s="10">
        <v>10</v>
      </c>
      <c r="BC952" s="10">
        <v>14</v>
      </c>
      <c r="BD952" s="10"/>
      <c r="BE952" s="10" t="s">
        <v>139</v>
      </c>
      <c r="BF952" s="10"/>
      <c r="BG952" s="10">
        <v>0.1</v>
      </c>
      <c r="BH952" s="10"/>
      <c r="BI952" s="10"/>
      <c r="BJ952" s="10"/>
      <c r="BK952" s="10"/>
      <c r="BL952" s="10"/>
      <c r="BM952" s="10"/>
      <c r="BN952" s="10"/>
      <c r="BO952" s="10"/>
      <c r="BP952" s="10"/>
      <c r="BQ952" s="10"/>
      <c r="BR952" s="10" t="s">
        <v>69</v>
      </c>
      <c r="BS952" s="10"/>
      <c r="BT952" s="10"/>
      <c r="BU952" s="10" t="s">
        <v>1977</v>
      </c>
      <c r="BV952">
        <v>25.8</v>
      </c>
      <c r="BW952">
        <v>0.17435595800000001</v>
      </c>
      <c r="BX952">
        <v>19</v>
      </c>
      <c r="BY952">
        <v>25.4</v>
      </c>
      <c r="BZ952">
        <v>0.435889894</v>
      </c>
      <c r="CA952">
        <v>19</v>
      </c>
      <c r="CB952" t="s">
        <v>113</v>
      </c>
      <c r="CC952" t="s">
        <v>1970</v>
      </c>
    </row>
    <row r="953" spans="1:81" x14ac:dyDescent="0.25">
      <c r="A953" s="10" t="s">
        <v>1788</v>
      </c>
      <c r="B953">
        <v>952</v>
      </c>
      <c r="C953" s="10">
        <v>16</v>
      </c>
      <c r="D953" s="10">
        <v>17</v>
      </c>
      <c r="E953" s="10">
        <v>210</v>
      </c>
      <c r="F953" s="10">
        <v>225</v>
      </c>
      <c r="G953" s="10">
        <v>538</v>
      </c>
      <c r="H953" s="10">
        <v>830</v>
      </c>
      <c r="I953" s="10" t="s">
        <v>1961</v>
      </c>
      <c r="J953" s="10" t="s">
        <v>197</v>
      </c>
      <c r="K953" s="10"/>
      <c r="L953" s="10"/>
      <c r="M953" s="10" t="s">
        <v>85</v>
      </c>
      <c r="N953" s="10"/>
      <c r="O953" s="10" t="s">
        <v>14</v>
      </c>
      <c r="P953" s="10" t="s">
        <v>1950</v>
      </c>
      <c r="Q953" s="10" t="s">
        <v>1951</v>
      </c>
      <c r="R953" s="10">
        <v>2013</v>
      </c>
      <c r="S953" s="10" t="s">
        <v>1952</v>
      </c>
      <c r="T953" s="10"/>
      <c r="U953" s="10" t="s">
        <v>1953</v>
      </c>
      <c r="V953" s="10" t="s">
        <v>1954</v>
      </c>
      <c r="W953" s="10" t="s">
        <v>91</v>
      </c>
      <c r="X953" s="10" t="s">
        <v>126</v>
      </c>
      <c r="Y953" s="10" t="s">
        <v>190</v>
      </c>
      <c r="Z953" s="10" t="s">
        <v>191</v>
      </c>
      <c r="AA953" s="10" t="s">
        <v>192</v>
      </c>
      <c r="AB953" s="10" t="s">
        <v>1955</v>
      </c>
      <c r="AC953" s="10" t="s">
        <v>1956</v>
      </c>
      <c r="AD953" s="10" t="s">
        <v>132</v>
      </c>
      <c r="AE953" s="10" t="s">
        <v>133</v>
      </c>
      <c r="AF953" s="10" t="s">
        <v>100</v>
      </c>
      <c r="AG953" s="10" t="s">
        <v>101</v>
      </c>
      <c r="AH953" s="10" t="s">
        <v>102</v>
      </c>
      <c r="AI953" s="10" t="s">
        <v>103</v>
      </c>
      <c r="AJ953" s="10" t="s">
        <v>104</v>
      </c>
      <c r="AK953" s="10">
        <f t="shared" si="40"/>
        <v>174.5</v>
      </c>
      <c r="AL953" s="10">
        <v>6</v>
      </c>
      <c r="AM953" s="10" t="s">
        <v>105</v>
      </c>
      <c r="AN953" s="10" t="s">
        <v>106</v>
      </c>
      <c r="AO953" s="10">
        <v>49.416350000000001</v>
      </c>
      <c r="AP953" s="10">
        <v>-119.61534</v>
      </c>
      <c r="AQ953" s="10">
        <v>276</v>
      </c>
      <c r="AR953" s="10"/>
      <c r="AS953" s="10">
        <v>2010</v>
      </c>
      <c r="AT953" s="10"/>
      <c r="AU953" s="10">
        <f t="shared" si="41"/>
        <v>1.06</v>
      </c>
      <c r="AV953" s="10">
        <f t="shared" si="42"/>
        <v>174.5</v>
      </c>
      <c r="AW953" s="10" t="s">
        <v>108</v>
      </c>
      <c r="AX953" s="10"/>
      <c r="AY953" s="10"/>
      <c r="AZ953" s="10" t="s">
        <v>109</v>
      </c>
      <c r="BA953" s="10" t="s">
        <v>138</v>
      </c>
      <c r="BB953" s="10">
        <v>10</v>
      </c>
      <c r="BC953" s="10">
        <v>14</v>
      </c>
      <c r="BD953" s="10"/>
      <c r="BE953" s="10" t="s">
        <v>139</v>
      </c>
      <c r="BF953" s="10"/>
      <c r="BG953" s="10">
        <v>0.1</v>
      </c>
      <c r="BH953" s="10"/>
      <c r="BI953" s="10"/>
      <c r="BJ953" s="10"/>
      <c r="BK953" s="10"/>
      <c r="BL953" s="10"/>
      <c r="BM953" s="10"/>
      <c r="BN953" s="10"/>
      <c r="BO953" s="10"/>
      <c r="BP953" s="10"/>
      <c r="BQ953" s="10"/>
      <c r="BR953" s="10" t="s">
        <v>69</v>
      </c>
      <c r="BS953" s="10"/>
      <c r="BT953" s="10"/>
      <c r="BU953" s="10" t="s">
        <v>1978</v>
      </c>
      <c r="BV953">
        <v>25.7</v>
      </c>
      <c r="BW953">
        <v>0.217944947</v>
      </c>
      <c r="BX953">
        <v>19</v>
      </c>
      <c r="BY953">
        <v>25.2</v>
      </c>
      <c r="BZ953">
        <v>0.47947888399999999</v>
      </c>
      <c r="CA953">
        <v>19</v>
      </c>
      <c r="CB953" t="s">
        <v>113</v>
      </c>
      <c r="CC953" t="s">
        <v>1970</v>
      </c>
    </row>
    <row r="954" spans="1:81" x14ac:dyDescent="0.25">
      <c r="A954" s="10" t="s">
        <v>1778</v>
      </c>
      <c r="B954">
        <v>953</v>
      </c>
      <c r="C954" s="10">
        <v>15</v>
      </c>
      <c r="D954" s="10">
        <v>16</v>
      </c>
      <c r="E954" s="10">
        <v>211</v>
      </c>
      <c r="F954" s="10">
        <v>226</v>
      </c>
      <c r="G954" s="10">
        <v>539</v>
      </c>
      <c r="H954" s="10">
        <v>831</v>
      </c>
      <c r="I954" s="10" t="s">
        <v>322</v>
      </c>
      <c r="J954" s="10" t="s">
        <v>691</v>
      </c>
      <c r="K954" s="10"/>
      <c r="L954" s="10"/>
      <c r="M954" s="10" t="s">
        <v>85</v>
      </c>
      <c r="N954" s="10"/>
      <c r="O954" s="10" t="s">
        <v>14</v>
      </c>
      <c r="P954" s="10" t="s">
        <v>1979</v>
      </c>
      <c r="Q954" s="10" t="s">
        <v>1980</v>
      </c>
      <c r="R954" s="10">
        <v>2004</v>
      </c>
      <c r="S954" s="10" t="s">
        <v>146</v>
      </c>
      <c r="T954" s="10"/>
      <c r="U954" s="10" t="s">
        <v>1981</v>
      </c>
      <c r="V954" s="10" t="s">
        <v>1982</v>
      </c>
      <c r="W954" s="10" t="s">
        <v>91</v>
      </c>
      <c r="X954" s="10" t="s">
        <v>126</v>
      </c>
      <c r="Y954" s="10" t="s">
        <v>127</v>
      </c>
      <c r="Z954" s="10" t="s">
        <v>128</v>
      </c>
      <c r="AA954" s="10" t="s">
        <v>1983</v>
      </c>
      <c r="AB954" s="10" t="s">
        <v>1984</v>
      </c>
      <c r="AC954" s="10" t="s">
        <v>1985</v>
      </c>
      <c r="AD954" s="10" t="s">
        <v>132</v>
      </c>
      <c r="AE954" s="10" t="s">
        <v>133</v>
      </c>
      <c r="AF954" s="10" t="s">
        <v>100</v>
      </c>
      <c r="AG954" s="10" t="s">
        <v>102</v>
      </c>
      <c r="AH954" s="10" t="s">
        <v>102</v>
      </c>
      <c r="AI954" s="10" t="s">
        <v>134</v>
      </c>
      <c r="AJ954" s="10" t="s">
        <v>135</v>
      </c>
      <c r="AK954" s="10"/>
      <c r="AL954" s="10"/>
      <c r="AM954" s="10" t="s">
        <v>136</v>
      </c>
      <c r="AN954" s="10" t="s">
        <v>700</v>
      </c>
      <c r="AO954" s="10"/>
      <c r="AP954" s="10"/>
      <c r="AQ954" s="10"/>
      <c r="AR954" s="10"/>
      <c r="AS954" s="10"/>
      <c r="AT954" s="10"/>
      <c r="AU954" s="10">
        <v>0.8</v>
      </c>
      <c r="AV954" s="10"/>
      <c r="AW954" s="10" t="s">
        <v>108</v>
      </c>
      <c r="AX954" s="10">
        <v>30</v>
      </c>
      <c r="AY954" s="10" t="s">
        <v>134</v>
      </c>
      <c r="AZ954" s="10" t="s">
        <v>109</v>
      </c>
      <c r="BA954" s="10" t="s">
        <v>138</v>
      </c>
      <c r="BB954" s="10">
        <v>25</v>
      </c>
      <c r="BC954" s="10">
        <v>30</v>
      </c>
      <c r="BD954" s="10">
        <v>0.2</v>
      </c>
      <c r="BE954" s="10" t="s">
        <v>139</v>
      </c>
      <c r="BF954" s="10">
        <v>30</v>
      </c>
      <c r="BG954" s="10">
        <v>0.3</v>
      </c>
      <c r="BH954" s="10"/>
      <c r="BI954" s="10"/>
      <c r="BJ954" s="10"/>
      <c r="BK954" s="10"/>
      <c r="BL954" s="10"/>
      <c r="BM954" s="10">
        <v>5.5</v>
      </c>
      <c r="BN954" s="10"/>
      <c r="BO954" s="10"/>
      <c r="BP954" s="10"/>
      <c r="BQ954" s="10"/>
      <c r="BR954" s="10" t="s">
        <v>449</v>
      </c>
      <c r="BS954" s="10" t="s">
        <v>1906</v>
      </c>
      <c r="BT954" s="10"/>
      <c r="BU954" s="10" t="s">
        <v>1986</v>
      </c>
      <c r="BV954">
        <v>39.700000000000003</v>
      </c>
      <c r="BW954">
        <v>0.75934181999999995</v>
      </c>
      <c r="BX954">
        <v>6</v>
      </c>
      <c r="BY954">
        <v>40.6</v>
      </c>
      <c r="BZ954">
        <v>0.171464282</v>
      </c>
      <c r="CA954">
        <v>6</v>
      </c>
      <c r="CB954" t="s">
        <v>113</v>
      </c>
      <c r="CC954" t="s">
        <v>1787</v>
      </c>
    </row>
    <row r="955" spans="1:81" x14ac:dyDescent="0.25">
      <c r="A955" s="10" t="s">
        <v>1778</v>
      </c>
      <c r="B955">
        <v>954</v>
      </c>
      <c r="C955" s="10">
        <v>15</v>
      </c>
      <c r="D955" s="10">
        <v>16</v>
      </c>
      <c r="E955" s="10">
        <v>211</v>
      </c>
      <c r="F955" s="10">
        <v>226</v>
      </c>
      <c r="G955" s="10">
        <v>539</v>
      </c>
      <c r="H955" s="10">
        <v>832</v>
      </c>
      <c r="I955" s="10" t="s">
        <v>322</v>
      </c>
      <c r="J955" s="10" t="s">
        <v>691</v>
      </c>
      <c r="K955" s="10"/>
      <c r="L955" s="10"/>
      <c r="M955" s="10" t="s">
        <v>85</v>
      </c>
      <c r="N955" s="10"/>
      <c r="O955" s="10" t="s">
        <v>14</v>
      </c>
      <c r="P955" s="10" t="s">
        <v>1979</v>
      </c>
      <c r="Q955" s="10" t="s">
        <v>1980</v>
      </c>
      <c r="R955" s="10">
        <v>2004</v>
      </c>
      <c r="S955" s="10" t="s">
        <v>146</v>
      </c>
      <c r="T955" s="10"/>
      <c r="U955" s="10" t="s">
        <v>1981</v>
      </c>
      <c r="V955" s="10" t="s">
        <v>1982</v>
      </c>
      <c r="W955" s="10" t="s">
        <v>91</v>
      </c>
      <c r="X955" s="10" t="s">
        <v>126</v>
      </c>
      <c r="Y955" s="10" t="s">
        <v>127</v>
      </c>
      <c r="Z955" s="10" t="s">
        <v>128</v>
      </c>
      <c r="AA955" s="10" t="s">
        <v>1983</v>
      </c>
      <c r="AB955" s="10" t="s">
        <v>1984</v>
      </c>
      <c r="AC955" s="10" t="s">
        <v>1985</v>
      </c>
      <c r="AD955" s="10" t="s">
        <v>132</v>
      </c>
      <c r="AE955" s="10" t="s">
        <v>133</v>
      </c>
      <c r="AF955" s="10" t="s">
        <v>100</v>
      </c>
      <c r="AG955" s="10" t="s">
        <v>102</v>
      </c>
      <c r="AH955" s="10" t="s">
        <v>102</v>
      </c>
      <c r="AI955" s="10" t="s">
        <v>134</v>
      </c>
      <c r="AJ955" s="10" t="s">
        <v>135</v>
      </c>
      <c r="AK955" s="10"/>
      <c r="AL955" s="10"/>
      <c r="AM955" s="10" t="s">
        <v>136</v>
      </c>
      <c r="AN955" s="10" t="s">
        <v>700</v>
      </c>
      <c r="AO955" s="10"/>
      <c r="AP955" s="10"/>
      <c r="AQ955" s="10"/>
      <c r="AR955" s="10"/>
      <c r="AS955" s="10"/>
      <c r="AT955" s="10"/>
      <c r="AU955" s="10">
        <v>0.8</v>
      </c>
      <c r="AV955" s="10"/>
      <c r="AW955" s="10" t="s">
        <v>108</v>
      </c>
      <c r="AX955" s="10">
        <v>30</v>
      </c>
      <c r="AY955" s="10" t="s">
        <v>134</v>
      </c>
      <c r="AZ955" s="10" t="s">
        <v>109</v>
      </c>
      <c r="BA955" s="10" t="s">
        <v>138</v>
      </c>
      <c r="BB955" s="10">
        <v>30</v>
      </c>
      <c r="BC955" s="10">
        <v>35</v>
      </c>
      <c r="BD955" s="10">
        <v>0.2</v>
      </c>
      <c r="BE955" s="10" t="s">
        <v>139</v>
      </c>
      <c r="BF955" s="10">
        <v>30</v>
      </c>
      <c r="BG955" s="10">
        <v>0.3</v>
      </c>
      <c r="BH955" s="10"/>
      <c r="BI955" s="10"/>
      <c r="BJ955" s="10"/>
      <c r="BK955" s="10"/>
      <c r="BL955" s="10"/>
      <c r="BM955" s="10">
        <v>5.5</v>
      </c>
      <c r="BN955" s="10"/>
      <c r="BO955" s="10"/>
      <c r="BP955" s="10"/>
      <c r="BQ955" s="10"/>
      <c r="BR955" s="10" t="s">
        <v>449</v>
      </c>
      <c r="BS955" s="10" t="s">
        <v>1906</v>
      </c>
      <c r="BT955" s="10"/>
      <c r="BU955" s="10" t="s">
        <v>1986</v>
      </c>
      <c r="BV955">
        <v>40.6</v>
      </c>
      <c r="BW955">
        <v>0.171464282</v>
      </c>
      <c r="BX955">
        <v>6</v>
      </c>
      <c r="BY955">
        <v>42.9</v>
      </c>
      <c r="BZ955">
        <v>0.24494897400000001</v>
      </c>
      <c r="CA955">
        <v>6</v>
      </c>
      <c r="CB955" t="s">
        <v>113</v>
      </c>
      <c r="CC955" t="s">
        <v>1787</v>
      </c>
    </row>
    <row r="956" spans="1:81" x14ac:dyDescent="0.25">
      <c r="A956" s="10" t="s">
        <v>1778</v>
      </c>
      <c r="B956">
        <v>955</v>
      </c>
      <c r="C956" s="10">
        <v>15</v>
      </c>
      <c r="D956" s="10">
        <v>4</v>
      </c>
      <c r="E956" s="10">
        <v>212</v>
      </c>
      <c r="F956" s="10">
        <v>227</v>
      </c>
      <c r="G956" s="10">
        <v>540</v>
      </c>
      <c r="H956" s="10">
        <v>833</v>
      </c>
      <c r="I956" s="10" t="s">
        <v>322</v>
      </c>
      <c r="J956" s="10" t="s">
        <v>691</v>
      </c>
      <c r="K956" s="10"/>
      <c r="L956" s="10"/>
      <c r="M956" s="10" t="s">
        <v>85</v>
      </c>
      <c r="N956" s="10"/>
      <c r="O956" s="10" t="s">
        <v>14</v>
      </c>
      <c r="P956" s="10" t="s">
        <v>1979</v>
      </c>
      <c r="Q956" s="10" t="s">
        <v>1980</v>
      </c>
      <c r="R956" s="10">
        <v>2004</v>
      </c>
      <c r="S956" s="10" t="s">
        <v>146</v>
      </c>
      <c r="T956" s="10"/>
      <c r="U956" s="10" t="s">
        <v>1981</v>
      </c>
      <c r="V956" s="10" t="s">
        <v>1982</v>
      </c>
      <c r="W956" s="10" t="s">
        <v>91</v>
      </c>
      <c r="X956" s="10" t="s">
        <v>126</v>
      </c>
      <c r="Y956" s="10" t="s">
        <v>127</v>
      </c>
      <c r="Z956" s="10" t="s">
        <v>128</v>
      </c>
      <c r="AA956" s="10" t="s">
        <v>149</v>
      </c>
      <c r="AB956" s="10" t="s">
        <v>150</v>
      </c>
      <c r="AC956" s="10" t="s">
        <v>151</v>
      </c>
      <c r="AD956" s="10" t="s">
        <v>132</v>
      </c>
      <c r="AE956" s="10" t="s">
        <v>133</v>
      </c>
      <c r="AF956" s="10" t="s">
        <v>100</v>
      </c>
      <c r="AG956" s="10" t="s">
        <v>102</v>
      </c>
      <c r="AH956" s="10" t="s">
        <v>102</v>
      </c>
      <c r="AI956" s="10" t="s">
        <v>134</v>
      </c>
      <c r="AJ956" s="10" t="s">
        <v>135</v>
      </c>
      <c r="AK956" s="10"/>
      <c r="AL956" s="10"/>
      <c r="AM956" s="10" t="s">
        <v>136</v>
      </c>
      <c r="AN956" s="10" t="s">
        <v>700</v>
      </c>
      <c r="AO956" s="10"/>
      <c r="AP956" s="10"/>
      <c r="AQ956" s="10"/>
      <c r="AR956" s="10"/>
      <c r="AS956" s="10"/>
      <c r="AT956" s="10"/>
      <c r="AU956" s="10">
        <v>0.7</v>
      </c>
      <c r="AV956" s="10"/>
      <c r="AW956" s="10" t="s">
        <v>108</v>
      </c>
      <c r="AX956" s="10">
        <v>30</v>
      </c>
      <c r="AY956" s="10" t="s">
        <v>134</v>
      </c>
      <c r="AZ956" s="10" t="s">
        <v>109</v>
      </c>
      <c r="BA956" s="10" t="s">
        <v>138</v>
      </c>
      <c r="BB956" s="10">
        <v>25</v>
      </c>
      <c r="BC956" s="10">
        <v>30</v>
      </c>
      <c r="BD956" s="10">
        <v>0.2</v>
      </c>
      <c r="BE956" s="10" t="s">
        <v>139</v>
      </c>
      <c r="BF956" s="10">
        <v>30</v>
      </c>
      <c r="BG956" s="10">
        <v>0.3</v>
      </c>
      <c r="BH956" s="10"/>
      <c r="BI956" s="10"/>
      <c r="BJ956" s="10"/>
      <c r="BK956" s="10"/>
      <c r="BL956" s="10"/>
      <c r="BM956" s="10">
        <v>5.5</v>
      </c>
      <c r="BN956" s="10"/>
      <c r="BO956" s="10"/>
      <c r="BP956" s="10"/>
      <c r="BQ956" s="10"/>
      <c r="BR956" s="10" t="s">
        <v>449</v>
      </c>
      <c r="BS956" s="10" t="s">
        <v>1906</v>
      </c>
      <c r="BT956" s="10"/>
      <c r="BU956" s="10" t="s">
        <v>1986</v>
      </c>
      <c r="BV956">
        <v>40.200000000000003</v>
      </c>
      <c r="BW956">
        <v>9.7979590000000005E-2</v>
      </c>
      <c r="BX956">
        <v>6</v>
      </c>
      <c r="BY956">
        <v>41.6</v>
      </c>
      <c r="BZ956">
        <v>0.19595917900000001</v>
      </c>
      <c r="CA956">
        <v>6</v>
      </c>
      <c r="CB956" t="s">
        <v>113</v>
      </c>
      <c r="CC956" t="s">
        <v>1787</v>
      </c>
    </row>
    <row r="957" spans="1:81" x14ac:dyDescent="0.25">
      <c r="A957" s="10" t="s">
        <v>1778</v>
      </c>
      <c r="B957">
        <v>956</v>
      </c>
      <c r="C957" s="10">
        <v>15</v>
      </c>
      <c r="D957" s="10">
        <v>4</v>
      </c>
      <c r="E957" s="10">
        <v>212</v>
      </c>
      <c r="F957" s="10">
        <v>227</v>
      </c>
      <c r="G957" s="10">
        <v>540</v>
      </c>
      <c r="H957" s="10">
        <v>834</v>
      </c>
      <c r="I957" s="10" t="s">
        <v>322</v>
      </c>
      <c r="J957" s="10" t="s">
        <v>691</v>
      </c>
      <c r="K957" s="10"/>
      <c r="L957" s="10"/>
      <c r="M957" s="10" t="s">
        <v>85</v>
      </c>
      <c r="N957" s="10"/>
      <c r="O957" s="10" t="s">
        <v>14</v>
      </c>
      <c r="P957" s="10" t="s">
        <v>1979</v>
      </c>
      <c r="Q957" s="10" t="s">
        <v>1980</v>
      </c>
      <c r="R957" s="10">
        <v>2004</v>
      </c>
      <c r="S957" s="10" t="s">
        <v>146</v>
      </c>
      <c r="T957" s="10"/>
      <c r="U957" s="10" t="s">
        <v>1981</v>
      </c>
      <c r="V957" s="10" t="s">
        <v>1982</v>
      </c>
      <c r="W957" s="10" t="s">
        <v>91</v>
      </c>
      <c r="X957" s="10" t="s">
        <v>126</v>
      </c>
      <c r="Y957" s="10" t="s">
        <v>127</v>
      </c>
      <c r="Z957" s="10" t="s">
        <v>128</v>
      </c>
      <c r="AA957" s="10" t="s">
        <v>149</v>
      </c>
      <c r="AB957" s="10" t="s">
        <v>150</v>
      </c>
      <c r="AC957" s="10" t="s">
        <v>151</v>
      </c>
      <c r="AD957" s="10" t="s">
        <v>132</v>
      </c>
      <c r="AE957" s="10" t="s">
        <v>133</v>
      </c>
      <c r="AF957" s="10" t="s">
        <v>100</v>
      </c>
      <c r="AG957" s="10" t="s">
        <v>102</v>
      </c>
      <c r="AH957" s="10" t="s">
        <v>102</v>
      </c>
      <c r="AI957" s="10" t="s">
        <v>134</v>
      </c>
      <c r="AJ957" s="10" t="s">
        <v>135</v>
      </c>
      <c r="AK957" s="10"/>
      <c r="AL957" s="10"/>
      <c r="AM957" s="10" t="s">
        <v>136</v>
      </c>
      <c r="AN957" s="10" t="s">
        <v>700</v>
      </c>
      <c r="AO957" s="10"/>
      <c r="AP957" s="10"/>
      <c r="AQ957" s="10"/>
      <c r="AR957" s="10"/>
      <c r="AS957" s="10"/>
      <c r="AT957" s="10"/>
      <c r="AU957" s="10">
        <v>0.7</v>
      </c>
      <c r="AV957" s="10"/>
      <c r="AW957" s="10" t="s">
        <v>108</v>
      </c>
      <c r="AX957" s="10">
        <v>30</v>
      </c>
      <c r="AY957" s="10" t="s">
        <v>134</v>
      </c>
      <c r="AZ957" s="10" t="s">
        <v>109</v>
      </c>
      <c r="BA957" s="10" t="s">
        <v>138</v>
      </c>
      <c r="BB957" s="10">
        <v>30</v>
      </c>
      <c r="BC957" s="10">
        <v>35</v>
      </c>
      <c r="BD957" s="10">
        <v>0.2</v>
      </c>
      <c r="BE957" s="10" t="s">
        <v>139</v>
      </c>
      <c r="BF957" s="10">
        <v>30</v>
      </c>
      <c r="BG957" s="10">
        <v>0.3</v>
      </c>
      <c r="BH957" s="10"/>
      <c r="BI957" s="10"/>
      <c r="BJ957" s="10"/>
      <c r="BK957" s="10"/>
      <c r="BL957" s="10"/>
      <c r="BM957" s="10">
        <v>5.5</v>
      </c>
      <c r="BN957" s="10"/>
      <c r="BO957" s="10"/>
      <c r="BP957" s="10"/>
      <c r="BQ957" s="10"/>
      <c r="BR957" s="10" t="s">
        <v>449</v>
      </c>
      <c r="BS957" s="10" t="s">
        <v>1906</v>
      </c>
      <c r="BT957" s="10"/>
      <c r="BU957" s="10" t="s">
        <v>1986</v>
      </c>
      <c r="BV957">
        <v>41.6</v>
      </c>
      <c r="BW957">
        <v>0.19595917900000001</v>
      </c>
      <c r="BX957">
        <v>6</v>
      </c>
      <c r="BY957">
        <v>42.2</v>
      </c>
      <c r="BZ957">
        <v>0.26944387199999997</v>
      </c>
      <c r="CA957">
        <v>6</v>
      </c>
      <c r="CB957" t="s">
        <v>113</v>
      </c>
      <c r="CC957" t="s">
        <v>1787</v>
      </c>
    </row>
    <row r="958" spans="1:81" x14ac:dyDescent="0.25">
      <c r="A958" s="10" t="s">
        <v>1788</v>
      </c>
      <c r="B958">
        <v>957</v>
      </c>
      <c r="C958" s="10">
        <v>15</v>
      </c>
      <c r="D958" s="10">
        <v>16</v>
      </c>
      <c r="E958" s="10">
        <v>211</v>
      </c>
      <c r="F958" s="10">
        <v>226</v>
      </c>
      <c r="G958" s="10">
        <v>539</v>
      </c>
      <c r="H958" s="10">
        <v>835</v>
      </c>
      <c r="I958" s="10" t="s">
        <v>322</v>
      </c>
      <c r="J958" s="10" t="s">
        <v>691</v>
      </c>
      <c r="K958" s="10"/>
      <c r="L958" s="10"/>
      <c r="M958" s="10" t="s">
        <v>85</v>
      </c>
      <c r="N958" s="10"/>
      <c r="O958" s="10" t="s">
        <v>14</v>
      </c>
      <c r="P958" s="10" t="s">
        <v>1979</v>
      </c>
      <c r="Q958" s="10" t="s">
        <v>1980</v>
      </c>
      <c r="R958" s="10">
        <v>2004</v>
      </c>
      <c r="S958" s="10" t="s">
        <v>146</v>
      </c>
      <c r="T958" s="10"/>
      <c r="U958" s="10" t="s">
        <v>1981</v>
      </c>
      <c r="V958" s="10" t="s">
        <v>1982</v>
      </c>
      <c r="W958" s="10" t="s">
        <v>91</v>
      </c>
      <c r="X958" s="10" t="s">
        <v>126</v>
      </c>
      <c r="Y958" s="10" t="s">
        <v>127</v>
      </c>
      <c r="Z958" s="10" t="s">
        <v>128</v>
      </c>
      <c r="AA958" s="10" t="s">
        <v>1983</v>
      </c>
      <c r="AB958" s="10" t="s">
        <v>1984</v>
      </c>
      <c r="AC958" s="10" t="s">
        <v>1985</v>
      </c>
      <c r="AD958" s="10" t="s">
        <v>132</v>
      </c>
      <c r="AE958" s="10" t="s">
        <v>133</v>
      </c>
      <c r="AF958" s="10" t="s">
        <v>100</v>
      </c>
      <c r="AG958" s="10" t="s">
        <v>102</v>
      </c>
      <c r="AH958" s="10" t="s">
        <v>102</v>
      </c>
      <c r="AI958" s="10" t="s">
        <v>134</v>
      </c>
      <c r="AJ958" s="10" t="s">
        <v>135</v>
      </c>
      <c r="AK958" s="10"/>
      <c r="AL958" s="10"/>
      <c r="AM958" s="10" t="s">
        <v>136</v>
      </c>
      <c r="AN958" s="10" t="s">
        <v>700</v>
      </c>
      <c r="AO958" s="10"/>
      <c r="AP958" s="10"/>
      <c r="AQ958" s="10"/>
      <c r="AR958" s="10"/>
      <c r="AS958" s="10"/>
      <c r="AT958" s="10"/>
      <c r="AU958" s="10">
        <v>0.8</v>
      </c>
      <c r="AV958" s="10"/>
      <c r="AW958" s="10" t="s">
        <v>108</v>
      </c>
      <c r="AX958" s="10">
        <v>30</v>
      </c>
      <c r="AY958" s="10" t="s">
        <v>134</v>
      </c>
      <c r="AZ958" s="10" t="s">
        <v>109</v>
      </c>
      <c r="BA958" s="10" t="s">
        <v>142</v>
      </c>
      <c r="BB958" s="10">
        <v>25</v>
      </c>
      <c r="BC958" s="10">
        <v>30</v>
      </c>
      <c r="BD958" s="10">
        <v>0.2</v>
      </c>
      <c r="BE958" s="10" t="s">
        <v>139</v>
      </c>
      <c r="BF958" s="10">
        <v>30</v>
      </c>
      <c r="BG958" s="10">
        <v>0.3</v>
      </c>
      <c r="BH958" s="10"/>
      <c r="BI958" s="10"/>
      <c r="BJ958" s="10"/>
      <c r="BK958" s="10"/>
      <c r="BL958" s="10"/>
      <c r="BM958" s="10">
        <v>5.5</v>
      </c>
      <c r="BN958" s="10"/>
      <c r="BO958" s="10"/>
      <c r="BP958" s="10"/>
      <c r="BQ958" s="10"/>
      <c r="BR958" s="10" t="s">
        <v>449</v>
      </c>
      <c r="BS958" s="10" t="s">
        <v>1906</v>
      </c>
      <c r="BT958" s="10"/>
      <c r="BU958" s="10" t="s">
        <v>1986</v>
      </c>
      <c r="BV958">
        <v>39.799999999999997</v>
      </c>
      <c r="BW958">
        <v>0.14696938500000001</v>
      </c>
      <c r="BX958">
        <v>6</v>
      </c>
      <c r="BY958">
        <v>40.9</v>
      </c>
      <c r="BZ958">
        <v>0.171464282</v>
      </c>
      <c r="CA958">
        <v>6</v>
      </c>
      <c r="CB958" t="s">
        <v>113</v>
      </c>
      <c r="CC958" t="s">
        <v>1787</v>
      </c>
    </row>
    <row r="959" spans="1:81" x14ac:dyDescent="0.25">
      <c r="A959" s="10" t="s">
        <v>1788</v>
      </c>
      <c r="B959">
        <v>958</v>
      </c>
      <c r="C959" s="10">
        <v>15</v>
      </c>
      <c r="D959" s="10">
        <v>16</v>
      </c>
      <c r="E959" s="10">
        <v>211</v>
      </c>
      <c r="F959" s="10">
        <v>226</v>
      </c>
      <c r="G959" s="10">
        <v>539</v>
      </c>
      <c r="H959" s="10">
        <v>836</v>
      </c>
      <c r="I959" s="10" t="s">
        <v>322</v>
      </c>
      <c r="J959" s="10" t="s">
        <v>691</v>
      </c>
      <c r="K959" s="10"/>
      <c r="L959" s="10"/>
      <c r="M959" s="10" t="s">
        <v>85</v>
      </c>
      <c r="N959" s="10"/>
      <c r="O959" s="10" t="s">
        <v>14</v>
      </c>
      <c r="P959" s="10" t="s">
        <v>1979</v>
      </c>
      <c r="Q959" s="10" t="s">
        <v>1980</v>
      </c>
      <c r="R959" s="10">
        <v>2004</v>
      </c>
      <c r="S959" s="10" t="s">
        <v>146</v>
      </c>
      <c r="T959" s="10"/>
      <c r="U959" s="10" t="s">
        <v>1981</v>
      </c>
      <c r="V959" s="10" t="s">
        <v>1982</v>
      </c>
      <c r="W959" s="10" t="s">
        <v>91</v>
      </c>
      <c r="X959" s="10" t="s">
        <v>126</v>
      </c>
      <c r="Y959" s="10" t="s">
        <v>127</v>
      </c>
      <c r="Z959" s="10" t="s">
        <v>128</v>
      </c>
      <c r="AA959" s="10" t="s">
        <v>1983</v>
      </c>
      <c r="AB959" s="10" t="s">
        <v>1984</v>
      </c>
      <c r="AC959" s="10" t="s">
        <v>1985</v>
      </c>
      <c r="AD959" s="10" t="s">
        <v>132</v>
      </c>
      <c r="AE959" s="10" t="s">
        <v>133</v>
      </c>
      <c r="AF959" s="10" t="s">
        <v>100</v>
      </c>
      <c r="AG959" s="10" t="s">
        <v>102</v>
      </c>
      <c r="AH959" s="10" t="s">
        <v>102</v>
      </c>
      <c r="AI959" s="10" t="s">
        <v>134</v>
      </c>
      <c r="AJ959" s="10" t="s">
        <v>135</v>
      </c>
      <c r="AK959" s="10"/>
      <c r="AL959" s="10"/>
      <c r="AM959" s="10" t="s">
        <v>136</v>
      </c>
      <c r="AN959" s="10" t="s">
        <v>700</v>
      </c>
      <c r="AO959" s="10"/>
      <c r="AP959" s="10"/>
      <c r="AQ959" s="10"/>
      <c r="AR959" s="10"/>
      <c r="AS959" s="10"/>
      <c r="AT959" s="10"/>
      <c r="AU959" s="10">
        <v>0.8</v>
      </c>
      <c r="AV959" s="10"/>
      <c r="AW959" s="10" t="s">
        <v>108</v>
      </c>
      <c r="AX959" s="10">
        <v>30</v>
      </c>
      <c r="AY959" s="10" t="s">
        <v>134</v>
      </c>
      <c r="AZ959" s="10" t="s">
        <v>109</v>
      </c>
      <c r="BA959" s="10" t="s">
        <v>142</v>
      </c>
      <c r="BB959" s="10">
        <v>30</v>
      </c>
      <c r="BC959" s="10">
        <v>35</v>
      </c>
      <c r="BD959" s="10">
        <v>0.2</v>
      </c>
      <c r="BE959" s="10" t="s">
        <v>139</v>
      </c>
      <c r="BF959" s="10">
        <v>30</v>
      </c>
      <c r="BG959" s="10">
        <v>0.3</v>
      </c>
      <c r="BH959" s="10"/>
      <c r="BI959" s="10"/>
      <c r="BJ959" s="10"/>
      <c r="BK959" s="10"/>
      <c r="BL959" s="10"/>
      <c r="BM959" s="10">
        <v>5.5</v>
      </c>
      <c r="BN959" s="10"/>
      <c r="BO959" s="10"/>
      <c r="BP959" s="10"/>
      <c r="BQ959" s="10"/>
      <c r="BR959" s="10" t="s">
        <v>449</v>
      </c>
      <c r="BS959" s="10" t="s">
        <v>1906</v>
      </c>
      <c r="BT959" s="10"/>
      <c r="BU959" s="10" t="s">
        <v>1986</v>
      </c>
      <c r="BV959">
        <v>40.9</v>
      </c>
      <c r="BW959">
        <v>0.171464282</v>
      </c>
      <c r="BX959">
        <v>6</v>
      </c>
      <c r="BY959">
        <v>42.9</v>
      </c>
      <c r="BZ959">
        <v>9.7979590000000005E-2</v>
      </c>
      <c r="CA959">
        <v>6</v>
      </c>
      <c r="CB959" t="s">
        <v>113</v>
      </c>
      <c r="CC959" t="s">
        <v>1787</v>
      </c>
    </row>
    <row r="960" spans="1:81" x14ac:dyDescent="0.25">
      <c r="A960" s="10" t="s">
        <v>1788</v>
      </c>
      <c r="B960">
        <v>959</v>
      </c>
      <c r="C960" s="10">
        <v>15</v>
      </c>
      <c r="D960" s="10">
        <v>4</v>
      </c>
      <c r="E960" s="10">
        <v>212</v>
      </c>
      <c r="F960" s="10">
        <v>227</v>
      </c>
      <c r="G960" s="10">
        <v>540</v>
      </c>
      <c r="H960" s="10">
        <v>837</v>
      </c>
      <c r="I960" s="10" t="s">
        <v>322</v>
      </c>
      <c r="J960" s="10" t="s">
        <v>691</v>
      </c>
      <c r="K960" s="10"/>
      <c r="L960" s="10"/>
      <c r="M960" s="10" t="s">
        <v>85</v>
      </c>
      <c r="N960" s="10"/>
      <c r="O960" s="10" t="s">
        <v>14</v>
      </c>
      <c r="P960" s="10" t="s">
        <v>1979</v>
      </c>
      <c r="Q960" s="10" t="s">
        <v>1980</v>
      </c>
      <c r="R960" s="10">
        <v>2004</v>
      </c>
      <c r="S960" s="10" t="s">
        <v>146</v>
      </c>
      <c r="T960" s="10"/>
      <c r="U960" s="10" t="s">
        <v>1981</v>
      </c>
      <c r="V960" s="10" t="s">
        <v>1982</v>
      </c>
      <c r="W960" s="10" t="s">
        <v>91</v>
      </c>
      <c r="X960" s="10" t="s">
        <v>126</v>
      </c>
      <c r="Y960" s="10" t="s">
        <v>127</v>
      </c>
      <c r="Z960" s="10" t="s">
        <v>128</v>
      </c>
      <c r="AA960" s="10" t="s">
        <v>149</v>
      </c>
      <c r="AB960" s="10" t="s">
        <v>150</v>
      </c>
      <c r="AC960" s="10" t="s">
        <v>151</v>
      </c>
      <c r="AD960" s="10" t="s">
        <v>132</v>
      </c>
      <c r="AE960" s="10" t="s">
        <v>133</v>
      </c>
      <c r="AF960" s="10" t="s">
        <v>100</v>
      </c>
      <c r="AG960" s="10" t="s">
        <v>102</v>
      </c>
      <c r="AH960" s="10" t="s">
        <v>102</v>
      </c>
      <c r="AI960" s="10" t="s">
        <v>134</v>
      </c>
      <c r="AJ960" s="10" t="s">
        <v>135</v>
      </c>
      <c r="AK960" s="10"/>
      <c r="AL960" s="10"/>
      <c r="AM960" s="10" t="s">
        <v>136</v>
      </c>
      <c r="AN960" s="10" t="s">
        <v>700</v>
      </c>
      <c r="AO960" s="10"/>
      <c r="AP960" s="10"/>
      <c r="AQ960" s="10"/>
      <c r="AR960" s="10"/>
      <c r="AS960" s="10"/>
      <c r="AT960" s="10"/>
      <c r="AU960" s="10">
        <v>0.7</v>
      </c>
      <c r="AV960" s="10"/>
      <c r="AW960" s="10" t="s">
        <v>108</v>
      </c>
      <c r="AX960" s="10">
        <v>30</v>
      </c>
      <c r="AY960" s="10" t="s">
        <v>134</v>
      </c>
      <c r="AZ960" s="10" t="s">
        <v>109</v>
      </c>
      <c r="BA960" s="10" t="s">
        <v>142</v>
      </c>
      <c r="BB960" s="10">
        <v>25</v>
      </c>
      <c r="BC960" s="10">
        <v>30</v>
      </c>
      <c r="BD960" s="10">
        <v>0.2</v>
      </c>
      <c r="BE960" s="10" t="s">
        <v>139</v>
      </c>
      <c r="BF960" s="10">
        <v>30</v>
      </c>
      <c r="BG960" s="10">
        <v>0.3</v>
      </c>
      <c r="BH960" s="10"/>
      <c r="BI960" s="10"/>
      <c r="BJ960" s="10"/>
      <c r="BK960" s="10"/>
      <c r="BL960" s="10"/>
      <c r="BM960" s="10">
        <v>5.5</v>
      </c>
      <c r="BN960" s="10"/>
      <c r="BO960" s="10"/>
      <c r="BP960" s="10"/>
      <c r="BQ960" s="10"/>
      <c r="BR960" s="10" t="s">
        <v>449</v>
      </c>
      <c r="BS960" s="10" t="s">
        <v>1906</v>
      </c>
      <c r="BT960" s="10"/>
      <c r="BU960" s="10" t="s">
        <v>1986</v>
      </c>
      <c r="BV960">
        <v>40.4</v>
      </c>
      <c r="BW960">
        <v>0.12247448700000001</v>
      </c>
      <c r="BX960">
        <v>6</v>
      </c>
      <c r="BY960">
        <v>41.9</v>
      </c>
      <c r="BZ960">
        <v>0.220454077</v>
      </c>
      <c r="CA960">
        <v>6</v>
      </c>
      <c r="CB960" t="s">
        <v>113</v>
      </c>
      <c r="CC960" t="s">
        <v>1787</v>
      </c>
    </row>
    <row r="961" spans="1:81" x14ac:dyDescent="0.25">
      <c r="A961" s="10" t="s">
        <v>1788</v>
      </c>
      <c r="B961">
        <v>960</v>
      </c>
      <c r="C961" s="10">
        <v>15</v>
      </c>
      <c r="D961" s="10">
        <v>4</v>
      </c>
      <c r="E961" s="10">
        <v>212</v>
      </c>
      <c r="F961" s="10">
        <v>227</v>
      </c>
      <c r="G961" s="10">
        <v>540</v>
      </c>
      <c r="H961" s="10">
        <v>838</v>
      </c>
      <c r="I961" s="10" t="s">
        <v>322</v>
      </c>
      <c r="J961" s="10" t="s">
        <v>691</v>
      </c>
      <c r="K961" s="10"/>
      <c r="L961" s="10"/>
      <c r="M961" s="10" t="s">
        <v>85</v>
      </c>
      <c r="N961" s="10"/>
      <c r="O961" s="10" t="s">
        <v>14</v>
      </c>
      <c r="P961" s="10" t="s">
        <v>1979</v>
      </c>
      <c r="Q961" s="10" t="s">
        <v>1980</v>
      </c>
      <c r="R961" s="10">
        <v>2004</v>
      </c>
      <c r="S961" s="10" t="s">
        <v>146</v>
      </c>
      <c r="T961" s="10"/>
      <c r="U961" s="10" t="s">
        <v>1981</v>
      </c>
      <c r="V961" s="10" t="s">
        <v>1982</v>
      </c>
      <c r="W961" s="10" t="s">
        <v>91</v>
      </c>
      <c r="X961" s="10" t="s">
        <v>126</v>
      </c>
      <c r="Y961" s="10" t="s">
        <v>127</v>
      </c>
      <c r="Z961" s="10" t="s">
        <v>128</v>
      </c>
      <c r="AA961" s="10" t="s">
        <v>149</v>
      </c>
      <c r="AB961" s="10" t="s">
        <v>150</v>
      </c>
      <c r="AC961" s="10" t="s">
        <v>151</v>
      </c>
      <c r="AD961" s="10" t="s">
        <v>132</v>
      </c>
      <c r="AE961" s="10" t="s">
        <v>133</v>
      </c>
      <c r="AF961" s="10" t="s">
        <v>100</v>
      </c>
      <c r="AG961" s="10" t="s">
        <v>102</v>
      </c>
      <c r="AH961" s="10" t="s">
        <v>102</v>
      </c>
      <c r="AI961" s="10" t="s">
        <v>134</v>
      </c>
      <c r="AJ961" s="10" t="s">
        <v>135</v>
      </c>
      <c r="AK961" s="10"/>
      <c r="AL961" s="10"/>
      <c r="AM961" s="10" t="s">
        <v>136</v>
      </c>
      <c r="AN961" s="10" t="s">
        <v>700</v>
      </c>
      <c r="AO961" s="10"/>
      <c r="AP961" s="10"/>
      <c r="AQ961" s="10"/>
      <c r="AR961" s="10"/>
      <c r="AS961" s="10"/>
      <c r="AT961" s="10"/>
      <c r="AU961" s="10">
        <v>0.7</v>
      </c>
      <c r="AV961" s="10"/>
      <c r="AW961" s="10" t="s">
        <v>108</v>
      </c>
      <c r="AX961" s="10">
        <v>30</v>
      </c>
      <c r="AY961" s="10" t="s">
        <v>134</v>
      </c>
      <c r="AZ961" s="10" t="s">
        <v>109</v>
      </c>
      <c r="BA961" s="10" t="s">
        <v>142</v>
      </c>
      <c r="BB961" s="10">
        <v>30</v>
      </c>
      <c r="BC961" s="10">
        <v>35</v>
      </c>
      <c r="BD961" s="10">
        <v>0.2</v>
      </c>
      <c r="BE961" s="10" t="s">
        <v>139</v>
      </c>
      <c r="BF961" s="10">
        <v>30</v>
      </c>
      <c r="BG961" s="10">
        <v>0.3</v>
      </c>
      <c r="BH961" s="10"/>
      <c r="BI961" s="10"/>
      <c r="BJ961" s="10"/>
      <c r="BK961" s="10"/>
      <c r="BL961" s="10"/>
      <c r="BM961" s="10">
        <v>5.5</v>
      </c>
      <c r="BN961" s="10"/>
      <c r="BO961" s="10"/>
      <c r="BP961" s="10"/>
      <c r="BQ961" s="10"/>
      <c r="BR961" s="10" t="s">
        <v>449</v>
      </c>
      <c r="BS961" s="10" t="s">
        <v>1906</v>
      </c>
      <c r="BT961" s="10"/>
      <c r="BU961" s="10" t="s">
        <v>1986</v>
      </c>
      <c r="BV961">
        <v>41.9</v>
      </c>
      <c r="BW961">
        <v>0.220454077</v>
      </c>
      <c r="BX961">
        <v>6</v>
      </c>
      <c r="BY961">
        <v>42.7</v>
      </c>
      <c r="BZ961">
        <v>0.12247448700000001</v>
      </c>
      <c r="CA961">
        <v>6</v>
      </c>
      <c r="CB961" t="s">
        <v>113</v>
      </c>
      <c r="CC961" t="s">
        <v>1787</v>
      </c>
    </row>
    <row r="962" spans="1:81" x14ac:dyDescent="0.25">
      <c r="A962" s="10" t="s">
        <v>1778</v>
      </c>
      <c r="B962">
        <v>961</v>
      </c>
      <c r="C962" s="10">
        <v>12</v>
      </c>
      <c r="D962" s="10">
        <v>13</v>
      </c>
      <c r="E962" s="10">
        <v>213</v>
      </c>
      <c r="F962" s="10">
        <v>228</v>
      </c>
      <c r="G962" s="10">
        <v>541</v>
      </c>
      <c r="H962" s="10">
        <v>839</v>
      </c>
      <c r="I962" s="10"/>
      <c r="J962" s="10" t="s">
        <v>143</v>
      </c>
      <c r="K962" s="10"/>
      <c r="L962" s="10"/>
      <c r="M962" s="10" t="s">
        <v>85</v>
      </c>
      <c r="N962" s="10"/>
      <c r="O962" s="10" t="s">
        <v>14</v>
      </c>
      <c r="P962" s="10" t="s">
        <v>1987</v>
      </c>
      <c r="Q962" s="10" t="s">
        <v>1988</v>
      </c>
      <c r="R962" s="10">
        <v>2014</v>
      </c>
      <c r="S962" s="10" t="s">
        <v>289</v>
      </c>
      <c r="T962" s="10"/>
      <c r="U962" s="10" t="s">
        <v>1989</v>
      </c>
      <c r="V962" s="10" t="s">
        <v>1990</v>
      </c>
      <c r="W962" s="10" t="s">
        <v>170</v>
      </c>
      <c r="X962" s="10" t="s">
        <v>171</v>
      </c>
      <c r="Y962" s="10" t="s">
        <v>1991</v>
      </c>
      <c r="Z962" s="10" t="s">
        <v>1992</v>
      </c>
      <c r="AA962" s="10" t="s">
        <v>1993</v>
      </c>
      <c r="AB962" s="10" t="s">
        <v>1994</v>
      </c>
      <c r="AC962" s="10" t="s">
        <v>1995</v>
      </c>
      <c r="AD962" s="10" t="s">
        <v>98</v>
      </c>
      <c r="AE962" s="10" t="s">
        <v>177</v>
      </c>
      <c r="AF962" s="10" t="s">
        <v>100</v>
      </c>
      <c r="AG962" s="10" t="s">
        <v>101</v>
      </c>
      <c r="AH962" s="10" t="s">
        <v>262</v>
      </c>
      <c r="AI962" s="10" t="s">
        <v>103</v>
      </c>
      <c r="AJ962" s="10" t="s">
        <v>104</v>
      </c>
      <c r="AK962" s="10"/>
      <c r="AL962" s="10">
        <v>25</v>
      </c>
      <c r="AM962" s="10" t="s">
        <v>105</v>
      </c>
      <c r="AN962" s="10" t="s">
        <v>106</v>
      </c>
      <c r="AO962" s="10"/>
      <c r="AP962" s="10"/>
      <c r="AQ962" s="10"/>
      <c r="AR962" s="10"/>
      <c r="AS962" s="10"/>
      <c r="AT962" s="10"/>
      <c r="AU962" s="10"/>
      <c r="AV962" s="10"/>
      <c r="AW962" s="10" t="s">
        <v>108</v>
      </c>
      <c r="AX962" s="10">
        <v>2</v>
      </c>
      <c r="AY962" s="10" t="s">
        <v>103</v>
      </c>
      <c r="AZ962" s="10" t="s">
        <v>109</v>
      </c>
      <c r="BA962" s="10" t="s">
        <v>110</v>
      </c>
      <c r="BB962" s="10">
        <v>24</v>
      </c>
      <c r="BC962" s="10">
        <v>27</v>
      </c>
      <c r="BD962" s="10"/>
      <c r="BE962" s="10" t="s">
        <v>139</v>
      </c>
      <c r="BF962" s="10"/>
      <c r="BG962" s="10">
        <v>0.2</v>
      </c>
      <c r="BH962" s="10"/>
      <c r="BI962" s="10"/>
      <c r="BJ962" s="10"/>
      <c r="BK962" s="10"/>
      <c r="BL962" s="10"/>
      <c r="BM962" s="10"/>
      <c r="BN962" s="10"/>
      <c r="BO962" s="10"/>
      <c r="BP962" s="10">
        <v>14</v>
      </c>
      <c r="BQ962" s="10"/>
      <c r="BR962" s="10" t="s">
        <v>449</v>
      </c>
      <c r="BS962" s="10"/>
      <c r="BT962" s="10" t="s">
        <v>1996</v>
      </c>
      <c r="BU962" s="10" t="s">
        <v>1997</v>
      </c>
      <c r="BV962">
        <v>53.9</v>
      </c>
      <c r="BW962">
        <v>2.1589290390000002</v>
      </c>
      <c r="BX962">
        <v>31</v>
      </c>
      <c r="BY962">
        <v>58.7</v>
      </c>
      <c r="BZ962">
        <v>1.5339758960000001</v>
      </c>
      <c r="CA962">
        <v>31</v>
      </c>
      <c r="CB962" t="s">
        <v>113</v>
      </c>
      <c r="CC962" t="s">
        <v>1998</v>
      </c>
    </row>
    <row r="963" spans="1:81" x14ac:dyDescent="0.25">
      <c r="A963" s="10" t="s">
        <v>2000</v>
      </c>
      <c r="B963">
        <v>962</v>
      </c>
      <c r="C963" s="10">
        <v>63</v>
      </c>
      <c r="D963" s="10">
        <v>59</v>
      </c>
      <c r="E963" s="10">
        <v>214</v>
      </c>
      <c r="F963" s="10">
        <v>229</v>
      </c>
      <c r="G963" s="10">
        <v>542</v>
      </c>
      <c r="H963" s="10">
        <v>840</v>
      </c>
      <c r="I963" s="10" t="s">
        <v>2001</v>
      </c>
      <c r="J963" s="10" t="s">
        <v>691</v>
      </c>
      <c r="K963" s="10"/>
      <c r="L963" s="10"/>
      <c r="M963" s="10" t="s">
        <v>85</v>
      </c>
      <c r="N963" s="10"/>
      <c r="O963" s="10" t="s">
        <v>14</v>
      </c>
      <c r="P963" s="10" t="s">
        <v>2002</v>
      </c>
      <c r="Q963" s="10" t="s">
        <v>2003</v>
      </c>
      <c r="R963" s="10">
        <v>2016</v>
      </c>
      <c r="S963" s="10" t="s">
        <v>431</v>
      </c>
      <c r="T963" s="10"/>
      <c r="U963" s="10" t="s">
        <v>2004</v>
      </c>
      <c r="V963" s="10" t="s">
        <v>2005</v>
      </c>
      <c r="W963" s="10" t="s">
        <v>91</v>
      </c>
      <c r="X963" s="10" t="s">
        <v>126</v>
      </c>
      <c r="Y963" s="10" t="s">
        <v>2006</v>
      </c>
      <c r="Z963" s="10" t="s">
        <v>2007</v>
      </c>
      <c r="AA963" s="10" t="s">
        <v>2008</v>
      </c>
      <c r="AB963" s="10" t="s">
        <v>2009</v>
      </c>
      <c r="AC963" s="10" t="s">
        <v>2010</v>
      </c>
      <c r="AD963" s="10" t="s">
        <v>132</v>
      </c>
      <c r="AE963" s="10" t="s">
        <v>133</v>
      </c>
      <c r="AF963" s="10" t="s">
        <v>260</v>
      </c>
      <c r="AG963" s="10" t="s">
        <v>102</v>
      </c>
      <c r="AH963" s="10" t="s">
        <v>102</v>
      </c>
      <c r="AI963" s="10" t="s">
        <v>134</v>
      </c>
      <c r="AJ963" s="10" t="s">
        <v>135</v>
      </c>
      <c r="AK963" s="10"/>
      <c r="AL963" s="10"/>
      <c r="AM963" s="10" t="s">
        <v>136</v>
      </c>
      <c r="AN963" s="10" t="s">
        <v>106</v>
      </c>
      <c r="AO963" s="10">
        <v>21.2833333333</v>
      </c>
      <c r="AP963" s="10">
        <v>-89.666666666699996</v>
      </c>
      <c r="AQ963" s="10">
        <v>0</v>
      </c>
      <c r="AR963" s="10"/>
      <c r="AS963" s="10"/>
      <c r="AT963" s="10"/>
      <c r="AU963" s="10">
        <f>(0.33+0.36)/2</f>
        <v>0.34499999999999997</v>
      </c>
      <c r="AV963" s="10">
        <f>(4.5*30.5)+4+30</f>
        <v>171.25</v>
      </c>
      <c r="AW963" s="10" t="s">
        <v>108</v>
      </c>
      <c r="AX963" s="10">
        <v>26</v>
      </c>
      <c r="AY963" s="10" t="s">
        <v>103</v>
      </c>
      <c r="AZ963" s="10" t="s">
        <v>109</v>
      </c>
      <c r="BA963" s="10" t="s">
        <v>180</v>
      </c>
      <c r="BB963" s="10">
        <v>18</v>
      </c>
      <c r="BC963" s="10">
        <v>30</v>
      </c>
      <c r="BD963" s="10"/>
      <c r="BE963" s="10" t="s">
        <v>139</v>
      </c>
      <c r="BF963" s="10">
        <v>30</v>
      </c>
      <c r="BG963" s="10">
        <v>1.4</v>
      </c>
      <c r="BH963" s="10"/>
      <c r="BI963" s="10"/>
      <c r="BJ963" s="10"/>
      <c r="BK963" s="10"/>
      <c r="BL963" s="10"/>
      <c r="BM963" s="10"/>
      <c r="BN963" s="10">
        <v>33</v>
      </c>
      <c r="BO963" s="10"/>
      <c r="BP963" s="10">
        <v>12</v>
      </c>
      <c r="BQ963" s="10" t="s">
        <v>2011</v>
      </c>
      <c r="BR963" s="10"/>
      <c r="BS963" s="10"/>
      <c r="BT963" s="10"/>
      <c r="BU963" s="10" t="s">
        <v>2012</v>
      </c>
      <c r="BV963">
        <v>25</v>
      </c>
      <c r="BW963">
        <v>0.9</v>
      </c>
      <c r="BX963">
        <v>6</v>
      </c>
      <c r="BY963">
        <v>32.700000000000003</v>
      </c>
      <c r="BZ963">
        <v>0.8</v>
      </c>
      <c r="CA963">
        <v>6</v>
      </c>
      <c r="CB963" t="s">
        <v>113</v>
      </c>
      <c r="CC963" t="s">
        <v>711</v>
      </c>
    </row>
    <row r="964" spans="1:81" x14ac:dyDescent="0.25">
      <c r="A964" s="10" t="s">
        <v>2000</v>
      </c>
      <c r="B964">
        <v>963</v>
      </c>
      <c r="C964" s="10">
        <v>63</v>
      </c>
      <c r="D964" s="10">
        <v>59</v>
      </c>
      <c r="E964" s="10">
        <v>214</v>
      </c>
      <c r="F964" s="10">
        <v>229</v>
      </c>
      <c r="G964" s="10">
        <v>543</v>
      </c>
      <c r="H964" s="10">
        <v>840</v>
      </c>
      <c r="I964" s="10" t="s">
        <v>2001</v>
      </c>
      <c r="J964" s="10" t="s">
        <v>691</v>
      </c>
      <c r="K964" s="10"/>
      <c r="L964" s="10"/>
      <c r="M964" s="10" t="s">
        <v>85</v>
      </c>
      <c r="N964" s="10"/>
      <c r="O964" s="10" t="s">
        <v>14</v>
      </c>
      <c r="P964" s="10" t="s">
        <v>2013</v>
      </c>
      <c r="Q964" s="10" t="s">
        <v>2014</v>
      </c>
      <c r="R964" s="10">
        <v>2016</v>
      </c>
      <c r="S964" s="10" t="s">
        <v>431</v>
      </c>
      <c r="T964" s="10"/>
      <c r="U964" s="10" t="s">
        <v>2015</v>
      </c>
      <c r="V964" s="10" t="s">
        <v>2016</v>
      </c>
      <c r="W964" s="10" t="s">
        <v>91</v>
      </c>
      <c r="X964" s="10" t="s">
        <v>126</v>
      </c>
      <c r="Y964" s="10" t="s">
        <v>2006</v>
      </c>
      <c r="Z964" s="10" t="s">
        <v>2007</v>
      </c>
      <c r="AA964" s="10" t="s">
        <v>2008</v>
      </c>
      <c r="AB964" s="10" t="s">
        <v>2009</v>
      </c>
      <c r="AC964" s="10" t="s">
        <v>2010</v>
      </c>
      <c r="AD964" s="10" t="s">
        <v>132</v>
      </c>
      <c r="AE964" s="10" t="s">
        <v>133</v>
      </c>
      <c r="AF964" s="10" t="s">
        <v>260</v>
      </c>
      <c r="AG964" s="10" t="s">
        <v>102</v>
      </c>
      <c r="AH964" s="10" t="s">
        <v>102</v>
      </c>
      <c r="AI964" s="10" t="s">
        <v>134</v>
      </c>
      <c r="AJ964" s="10" t="s">
        <v>135</v>
      </c>
      <c r="AK964" s="10"/>
      <c r="AL964" s="10"/>
      <c r="AM964" s="10" t="s">
        <v>136</v>
      </c>
      <c r="AN964" s="10" t="s">
        <v>106</v>
      </c>
      <c r="AO964" s="10">
        <v>21.2833333333</v>
      </c>
      <c r="AP964" s="10">
        <v>-89.666666666699996</v>
      </c>
      <c r="AQ964" s="10">
        <v>0</v>
      </c>
      <c r="AR964" s="10"/>
      <c r="AS964" s="10"/>
      <c r="AT964" s="10"/>
      <c r="AU964" s="10">
        <v>0.34499999999999997</v>
      </c>
      <c r="AV964" s="10">
        <f>(4.5*30.5)+4+30</f>
        <v>171.25</v>
      </c>
      <c r="AW964" s="10" t="s">
        <v>108</v>
      </c>
      <c r="AX964" s="10">
        <v>26</v>
      </c>
      <c r="AY964" s="10" t="s">
        <v>103</v>
      </c>
      <c r="AZ964" s="10" t="s">
        <v>109</v>
      </c>
      <c r="BA964" s="10" t="s">
        <v>180</v>
      </c>
      <c r="BB964" s="10">
        <v>18</v>
      </c>
      <c r="BC964" s="10">
        <v>30</v>
      </c>
      <c r="BD964" s="10"/>
      <c r="BE964" s="10" t="s">
        <v>139</v>
      </c>
      <c r="BF964" s="10">
        <v>30</v>
      </c>
      <c r="BG964" s="10">
        <v>1.4</v>
      </c>
      <c r="BH964" s="10"/>
      <c r="BI964" s="10"/>
      <c r="BJ964" s="10"/>
      <c r="BK964" s="10"/>
      <c r="BL964" s="10"/>
      <c r="BM964" s="10"/>
      <c r="BN964" s="10">
        <v>33</v>
      </c>
      <c r="BO964" s="10"/>
      <c r="BP964" s="10">
        <v>12</v>
      </c>
      <c r="BQ964" s="10" t="s">
        <v>2011</v>
      </c>
      <c r="BR964" s="10"/>
      <c r="BS964" s="10"/>
      <c r="BT964" s="10"/>
      <c r="BU964" s="10" t="s">
        <v>2017</v>
      </c>
      <c r="BV964">
        <v>29</v>
      </c>
      <c r="BW964">
        <v>1.9</v>
      </c>
      <c r="BX964">
        <v>6</v>
      </c>
      <c r="BY964">
        <v>33.700000000000003</v>
      </c>
      <c r="BZ964">
        <v>0.8</v>
      </c>
      <c r="CA964">
        <v>6</v>
      </c>
      <c r="CB964" t="s">
        <v>113</v>
      </c>
      <c r="CC964" t="s">
        <v>711</v>
      </c>
    </row>
    <row r="965" spans="1:81" x14ac:dyDescent="0.25">
      <c r="A965" s="10" t="s">
        <v>2000</v>
      </c>
      <c r="B965">
        <v>964</v>
      </c>
      <c r="C965" s="10">
        <v>63</v>
      </c>
      <c r="D965" s="10">
        <v>59</v>
      </c>
      <c r="E965" s="10">
        <v>214</v>
      </c>
      <c r="F965" s="10">
        <v>229</v>
      </c>
      <c r="G965" s="10">
        <v>544</v>
      </c>
      <c r="H965" s="10">
        <v>840</v>
      </c>
      <c r="I965" s="10" t="s">
        <v>2001</v>
      </c>
      <c r="J965" s="10" t="s">
        <v>691</v>
      </c>
      <c r="K965" s="10"/>
      <c r="L965" s="10"/>
      <c r="M965" s="10" t="s">
        <v>85</v>
      </c>
      <c r="N965" s="10"/>
      <c r="O965" s="10" t="s">
        <v>14</v>
      </c>
      <c r="P965" s="10" t="s">
        <v>2018</v>
      </c>
      <c r="Q965" s="10" t="s">
        <v>2019</v>
      </c>
      <c r="R965" s="10">
        <v>2016</v>
      </c>
      <c r="S965" s="10" t="s">
        <v>431</v>
      </c>
      <c r="T965" s="10"/>
      <c r="U965" s="10" t="s">
        <v>2020</v>
      </c>
      <c r="V965" s="10" t="s">
        <v>2021</v>
      </c>
      <c r="W965" s="10" t="s">
        <v>91</v>
      </c>
      <c r="X965" s="10" t="s">
        <v>126</v>
      </c>
      <c r="Y965" s="10" t="s">
        <v>2006</v>
      </c>
      <c r="Z965" s="10" t="s">
        <v>2007</v>
      </c>
      <c r="AA965" s="10" t="s">
        <v>2008</v>
      </c>
      <c r="AB965" s="10" t="s">
        <v>2009</v>
      </c>
      <c r="AC965" s="10" t="s">
        <v>2010</v>
      </c>
      <c r="AD965" s="10" t="s">
        <v>132</v>
      </c>
      <c r="AE965" s="10" t="s">
        <v>133</v>
      </c>
      <c r="AF965" s="10" t="s">
        <v>260</v>
      </c>
      <c r="AG965" s="10" t="s">
        <v>102</v>
      </c>
      <c r="AH965" s="10" t="s">
        <v>102</v>
      </c>
      <c r="AI965" s="10" t="s">
        <v>134</v>
      </c>
      <c r="AJ965" s="10" t="s">
        <v>135</v>
      </c>
      <c r="AK965" s="10"/>
      <c r="AL965" s="10"/>
      <c r="AM965" s="10" t="s">
        <v>136</v>
      </c>
      <c r="AN965" s="10" t="s">
        <v>106</v>
      </c>
      <c r="AO965" s="10">
        <v>21.2833333333</v>
      </c>
      <c r="AP965" s="10">
        <v>-89.666666666699996</v>
      </c>
      <c r="AQ965" s="10">
        <v>0</v>
      </c>
      <c r="AR965" s="10"/>
      <c r="AS965" s="10"/>
      <c r="AT965" s="10"/>
      <c r="AU965" s="10">
        <v>0.34499999999999997</v>
      </c>
      <c r="AV965" s="10">
        <f>(4.5*30.5)+4+30</f>
        <v>171.25</v>
      </c>
      <c r="AW965" s="10" t="s">
        <v>108</v>
      </c>
      <c r="AX965" s="10">
        <v>26</v>
      </c>
      <c r="AY965" s="10" t="s">
        <v>103</v>
      </c>
      <c r="AZ965" s="10" t="s">
        <v>109</v>
      </c>
      <c r="BA965" s="10" t="s">
        <v>180</v>
      </c>
      <c r="BB965" s="10">
        <v>18</v>
      </c>
      <c r="BC965" s="10">
        <v>30</v>
      </c>
      <c r="BD965" s="10"/>
      <c r="BE965" s="10" t="s">
        <v>139</v>
      </c>
      <c r="BF965" s="10">
        <v>30</v>
      </c>
      <c r="BG965" s="10">
        <v>1.4</v>
      </c>
      <c r="BH965" s="10"/>
      <c r="BI965" s="10"/>
      <c r="BJ965" s="10"/>
      <c r="BK965" s="10"/>
      <c r="BL965" s="10"/>
      <c r="BM965" s="10"/>
      <c r="BN965" s="10">
        <v>33</v>
      </c>
      <c r="BO965" s="10"/>
      <c r="BP965" s="10">
        <v>12</v>
      </c>
      <c r="BQ965" s="10" t="s">
        <v>2011</v>
      </c>
      <c r="BR965" s="10"/>
      <c r="BS965" s="10"/>
      <c r="BT965" s="10"/>
      <c r="BU965" s="10" t="s">
        <v>2022</v>
      </c>
      <c r="BV965">
        <v>33.1</v>
      </c>
      <c r="BW965">
        <v>1.4</v>
      </c>
      <c r="BX965">
        <v>6</v>
      </c>
      <c r="BY965">
        <v>36.200000000000003</v>
      </c>
      <c r="BZ965">
        <v>1.2</v>
      </c>
      <c r="CA965">
        <v>6</v>
      </c>
      <c r="CB965" t="s">
        <v>113</v>
      </c>
      <c r="CC965" t="s">
        <v>711</v>
      </c>
    </row>
    <row r="966" spans="1:81" x14ac:dyDescent="0.25">
      <c r="A966" s="10" t="s">
        <v>2023</v>
      </c>
      <c r="B966">
        <v>965</v>
      </c>
      <c r="C966" s="10">
        <v>71</v>
      </c>
      <c r="D966" s="10">
        <v>10</v>
      </c>
      <c r="E966" s="10">
        <v>215</v>
      </c>
      <c r="F966" s="10">
        <v>230</v>
      </c>
      <c r="G966" s="10">
        <v>545</v>
      </c>
      <c r="H966" s="10">
        <v>841</v>
      </c>
      <c r="I966" s="10" t="s">
        <v>2024</v>
      </c>
      <c r="J966" s="10" t="s">
        <v>304</v>
      </c>
      <c r="K966" s="10"/>
      <c r="L966" s="10" t="s">
        <v>2025</v>
      </c>
      <c r="M966" s="10" t="s">
        <v>85</v>
      </c>
      <c r="N966" s="10"/>
      <c r="O966" s="10" t="s">
        <v>250</v>
      </c>
      <c r="P966" s="10" t="s">
        <v>2026</v>
      </c>
      <c r="Q966" s="10" t="s">
        <v>2027</v>
      </c>
      <c r="R966" s="10">
        <v>1998</v>
      </c>
      <c r="S966" s="10" t="s">
        <v>253</v>
      </c>
      <c r="T966" s="10">
        <v>1</v>
      </c>
      <c r="U966" s="10"/>
      <c r="V966" s="10" t="s">
        <v>2028</v>
      </c>
      <c r="W966" s="10" t="s">
        <v>91</v>
      </c>
      <c r="X966" s="10" t="s">
        <v>126</v>
      </c>
      <c r="Y966" s="10" t="s">
        <v>190</v>
      </c>
      <c r="Z966" s="10" t="s">
        <v>191</v>
      </c>
      <c r="AA966" s="10" t="s">
        <v>192</v>
      </c>
      <c r="AB966" s="10" t="s">
        <v>227</v>
      </c>
      <c r="AC966" s="10" t="s">
        <v>228</v>
      </c>
      <c r="AD966" s="10" t="s">
        <v>132</v>
      </c>
      <c r="AE966" s="10" t="s">
        <v>133</v>
      </c>
      <c r="AF966" s="10" t="s">
        <v>100</v>
      </c>
      <c r="AG966" s="10" t="s">
        <v>102</v>
      </c>
      <c r="AH966" s="10" t="s">
        <v>102</v>
      </c>
      <c r="AI966" s="10" t="s">
        <v>134</v>
      </c>
      <c r="AJ966" s="10" t="s">
        <v>135</v>
      </c>
      <c r="AK966" s="10"/>
      <c r="AL966" s="10"/>
      <c r="AM966" s="10" t="s">
        <v>136</v>
      </c>
      <c r="AN966" s="10" t="s">
        <v>242</v>
      </c>
      <c r="AO966" s="10"/>
      <c r="AP966" s="10"/>
      <c r="AQ966" s="10"/>
      <c r="AR966" s="10"/>
      <c r="AS966" s="10"/>
      <c r="AT966" s="10"/>
      <c r="AU966" s="10">
        <f>(2.8868552+4.1747088)/2</f>
        <v>3.5307820000000003</v>
      </c>
      <c r="AV966" s="10"/>
      <c r="AW966" s="10" t="s">
        <v>108</v>
      </c>
      <c r="AX966" s="10"/>
      <c r="AY966" s="10"/>
      <c r="AZ966" s="10" t="s">
        <v>109</v>
      </c>
      <c r="BA966" s="10" t="s">
        <v>138</v>
      </c>
      <c r="BB966" s="10">
        <v>10</v>
      </c>
      <c r="BC966" s="10">
        <v>14</v>
      </c>
      <c r="BD966" s="10"/>
      <c r="BE966" s="10" t="s">
        <v>139</v>
      </c>
      <c r="BF966" s="10"/>
      <c r="BG966" s="10">
        <v>0.3</v>
      </c>
      <c r="BH966" s="10"/>
      <c r="BI966" s="10"/>
      <c r="BJ966" s="10"/>
      <c r="BK966" s="10"/>
      <c r="BL966" s="10"/>
      <c r="BM966" s="10">
        <v>8.9</v>
      </c>
      <c r="BN966" s="10"/>
      <c r="BO966" s="10">
        <v>7.8</v>
      </c>
      <c r="BP966" s="10"/>
      <c r="BQ966" s="10"/>
      <c r="BR966" s="10" t="s">
        <v>69</v>
      </c>
      <c r="BS966" s="10"/>
      <c r="BT966" s="10" t="s">
        <v>1728</v>
      </c>
      <c r="BU966" s="10" t="s">
        <v>2029</v>
      </c>
      <c r="BV966">
        <v>27.726244340000001</v>
      </c>
      <c r="BW966">
        <v>7.9185519999999995E-2</v>
      </c>
      <c r="BX966" t="s">
        <v>454</v>
      </c>
      <c r="BY966">
        <v>28.375565609999999</v>
      </c>
      <c r="BZ966">
        <v>0.25339366499999999</v>
      </c>
      <c r="CA966" t="s">
        <v>454</v>
      </c>
      <c r="CB966" t="s">
        <v>215</v>
      </c>
      <c r="CC966" t="s">
        <v>2030</v>
      </c>
    </row>
    <row r="967" spans="1:81" x14ac:dyDescent="0.25">
      <c r="A967" s="10" t="s">
        <v>2023</v>
      </c>
      <c r="B967">
        <v>966</v>
      </c>
      <c r="C967" s="10">
        <v>71</v>
      </c>
      <c r="D967" s="10">
        <v>10</v>
      </c>
      <c r="E967" s="10">
        <v>215</v>
      </c>
      <c r="F967" s="10">
        <v>230</v>
      </c>
      <c r="G967" s="10">
        <v>545</v>
      </c>
      <c r="H967" s="10">
        <v>842</v>
      </c>
      <c r="I967" s="10" t="s">
        <v>2024</v>
      </c>
      <c r="J967" s="10" t="s">
        <v>304</v>
      </c>
      <c r="K967" s="10"/>
      <c r="L967" s="10" t="s">
        <v>2025</v>
      </c>
      <c r="M967" s="10" t="s">
        <v>85</v>
      </c>
      <c r="N967" s="10"/>
      <c r="O967" s="10" t="s">
        <v>250</v>
      </c>
      <c r="P967" s="10" t="s">
        <v>2026</v>
      </c>
      <c r="Q967" s="10" t="s">
        <v>2027</v>
      </c>
      <c r="R967" s="10">
        <v>1998</v>
      </c>
      <c r="S967" s="10" t="s">
        <v>253</v>
      </c>
      <c r="T967" s="10">
        <v>1</v>
      </c>
      <c r="U967" s="10"/>
      <c r="V967" s="10" t="s">
        <v>2028</v>
      </c>
      <c r="W967" s="10" t="s">
        <v>91</v>
      </c>
      <c r="X967" s="10" t="s">
        <v>126</v>
      </c>
      <c r="Y967" s="10" t="s">
        <v>190</v>
      </c>
      <c r="Z967" s="10" t="s">
        <v>191</v>
      </c>
      <c r="AA967" s="10" t="s">
        <v>192</v>
      </c>
      <c r="AB967" s="10" t="s">
        <v>227</v>
      </c>
      <c r="AC967" s="10" t="s">
        <v>228</v>
      </c>
      <c r="AD967" s="10" t="s">
        <v>132</v>
      </c>
      <c r="AE967" s="10" t="s">
        <v>133</v>
      </c>
      <c r="AF967" s="10" t="s">
        <v>100</v>
      </c>
      <c r="AG967" s="10" t="s">
        <v>102</v>
      </c>
      <c r="AH967" s="10" t="s">
        <v>102</v>
      </c>
      <c r="AI967" s="10" t="s">
        <v>134</v>
      </c>
      <c r="AJ967" s="10" t="s">
        <v>135</v>
      </c>
      <c r="AK967" s="10"/>
      <c r="AL967" s="10"/>
      <c r="AM967" s="10" t="s">
        <v>136</v>
      </c>
      <c r="AN967" s="10" t="s">
        <v>242</v>
      </c>
      <c r="AO967" s="10"/>
      <c r="AP967" s="10"/>
      <c r="AQ967" s="10"/>
      <c r="AR967" s="10"/>
      <c r="AS967" s="10"/>
      <c r="AT967" s="10"/>
      <c r="AU967" s="10">
        <f>(4.1747088+4.0549085)/2</f>
        <v>4.1148086500000005</v>
      </c>
      <c r="AV967" s="10"/>
      <c r="AW967" s="10" t="s">
        <v>108</v>
      </c>
      <c r="AX967" s="10"/>
      <c r="AY967" s="10"/>
      <c r="AZ967" s="10" t="s">
        <v>109</v>
      </c>
      <c r="BA967" s="10" t="s">
        <v>138</v>
      </c>
      <c r="BB967" s="10">
        <v>14</v>
      </c>
      <c r="BC967" s="10">
        <v>19</v>
      </c>
      <c r="BD967" s="10"/>
      <c r="BE967" s="10" t="s">
        <v>139</v>
      </c>
      <c r="BF967" s="10"/>
      <c r="BG967" s="10">
        <v>0.3</v>
      </c>
      <c r="BH967" s="10"/>
      <c r="BI967" s="10"/>
      <c r="BJ967" s="10"/>
      <c r="BK967" s="10"/>
      <c r="BL967" s="10"/>
      <c r="BM967" s="10">
        <v>8.9</v>
      </c>
      <c r="BN967" s="10"/>
      <c r="BO967" s="10">
        <v>7.8</v>
      </c>
      <c r="BP967" s="10"/>
      <c r="BQ967" s="10"/>
      <c r="BR967" s="10" t="s">
        <v>69</v>
      </c>
      <c r="BS967" s="10"/>
      <c r="BT967" s="10" t="s">
        <v>1728</v>
      </c>
      <c r="BU967" s="10" t="s">
        <v>2029</v>
      </c>
      <c r="BV967">
        <v>28.375565609999999</v>
      </c>
      <c r="BW967">
        <v>0.25339366499999999</v>
      </c>
      <c r="BX967" t="s">
        <v>454</v>
      </c>
      <c r="BY967">
        <v>28.438914029999999</v>
      </c>
      <c r="BZ967">
        <v>0.142533937</v>
      </c>
      <c r="CA967" t="s">
        <v>454</v>
      </c>
      <c r="CB967" t="s">
        <v>215</v>
      </c>
      <c r="CC967" t="s">
        <v>2030</v>
      </c>
    </row>
    <row r="968" spans="1:81" x14ac:dyDescent="0.25">
      <c r="A968" s="10" t="s">
        <v>2023</v>
      </c>
      <c r="B968">
        <v>967</v>
      </c>
      <c r="C968" s="10">
        <v>71</v>
      </c>
      <c r="D968" s="10">
        <v>10</v>
      </c>
      <c r="E968" s="10">
        <v>215</v>
      </c>
      <c r="F968" s="10">
        <v>230</v>
      </c>
      <c r="G968" s="10">
        <v>546</v>
      </c>
      <c r="H968" s="10">
        <v>841</v>
      </c>
      <c r="I968" s="10" t="s">
        <v>2024</v>
      </c>
      <c r="J968" s="10" t="s">
        <v>304</v>
      </c>
      <c r="K968" s="10"/>
      <c r="L968" s="10" t="s">
        <v>2025</v>
      </c>
      <c r="M968" s="10" t="s">
        <v>85</v>
      </c>
      <c r="N968" s="10"/>
      <c r="O968" s="10" t="s">
        <v>250</v>
      </c>
      <c r="P968" s="10" t="s">
        <v>2026</v>
      </c>
      <c r="Q968" s="10" t="s">
        <v>2027</v>
      </c>
      <c r="R968" s="10">
        <v>1998</v>
      </c>
      <c r="S968" s="10" t="s">
        <v>253</v>
      </c>
      <c r="T968" s="10">
        <v>1</v>
      </c>
      <c r="U968" s="10"/>
      <c r="V968" s="10" t="s">
        <v>2028</v>
      </c>
      <c r="W968" s="10" t="s">
        <v>91</v>
      </c>
      <c r="X968" s="10" t="s">
        <v>126</v>
      </c>
      <c r="Y968" s="10" t="s">
        <v>190</v>
      </c>
      <c r="Z968" s="10" t="s">
        <v>191</v>
      </c>
      <c r="AA968" s="10" t="s">
        <v>192</v>
      </c>
      <c r="AB968" s="10" t="s">
        <v>227</v>
      </c>
      <c r="AC968" s="10" t="s">
        <v>228</v>
      </c>
      <c r="AD968" s="10" t="s">
        <v>132</v>
      </c>
      <c r="AE968" s="10" t="s">
        <v>133</v>
      </c>
      <c r="AF968" s="10" t="s">
        <v>100</v>
      </c>
      <c r="AG968" s="10" t="s">
        <v>102</v>
      </c>
      <c r="AH968" s="10" t="s">
        <v>102</v>
      </c>
      <c r="AI968" s="10" t="s">
        <v>134</v>
      </c>
      <c r="AJ968" s="10" t="s">
        <v>135</v>
      </c>
      <c r="AK968" s="10"/>
      <c r="AL968" s="10"/>
      <c r="AM968" s="10" t="s">
        <v>136</v>
      </c>
      <c r="AN968" s="10" t="s">
        <v>242</v>
      </c>
      <c r="AO968" s="10"/>
      <c r="AP968" s="10"/>
      <c r="AQ968" s="10"/>
      <c r="AR968" s="10"/>
      <c r="AS968" s="10"/>
      <c r="AT968" s="10"/>
      <c r="AU968" s="10">
        <f>(2.8868552+4.1747088)/2</f>
        <v>3.5307820000000003</v>
      </c>
      <c r="AV968" s="10"/>
      <c r="AW968" s="10" t="s">
        <v>108</v>
      </c>
      <c r="AX968" s="10"/>
      <c r="AY968" s="10"/>
      <c r="AZ968" s="10" t="s">
        <v>109</v>
      </c>
      <c r="BA968" s="10" t="s">
        <v>142</v>
      </c>
      <c r="BB968" s="10">
        <v>10</v>
      </c>
      <c r="BC968" s="10">
        <v>14</v>
      </c>
      <c r="BD968" s="10"/>
      <c r="BE968" s="10" t="s">
        <v>139</v>
      </c>
      <c r="BF968" s="10"/>
      <c r="BG968" s="10">
        <v>0.3</v>
      </c>
      <c r="BH968" s="10"/>
      <c r="BI968" s="10"/>
      <c r="BJ968" s="10"/>
      <c r="BK968" s="10"/>
      <c r="BL968" s="10"/>
      <c r="BM968" s="10">
        <v>8.9</v>
      </c>
      <c r="BN968" s="10"/>
      <c r="BO968" s="10">
        <v>7.8</v>
      </c>
      <c r="BP968" s="10"/>
      <c r="BQ968" s="10"/>
      <c r="BR968" s="10" t="s">
        <v>69</v>
      </c>
      <c r="BS968" s="10"/>
      <c r="BT968" s="10" t="s">
        <v>1728</v>
      </c>
      <c r="BU968" s="10" t="s">
        <v>2031</v>
      </c>
      <c r="BV968">
        <v>29.64253394</v>
      </c>
      <c r="BW968">
        <v>6.3348416000000005E-2</v>
      </c>
      <c r="BX968" t="s">
        <v>454</v>
      </c>
      <c r="BY968">
        <v>30.228506790000001</v>
      </c>
      <c r="BZ968">
        <v>0.110859729</v>
      </c>
      <c r="CA968" t="s">
        <v>454</v>
      </c>
      <c r="CB968" t="s">
        <v>215</v>
      </c>
      <c r="CC968" t="s">
        <v>2030</v>
      </c>
    </row>
    <row r="969" spans="1:81" x14ac:dyDescent="0.25">
      <c r="A969" s="10" t="s">
        <v>2023</v>
      </c>
      <c r="B969">
        <v>968</v>
      </c>
      <c r="C969" s="10">
        <v>71</v>
      </c>
      <c r="D969" s="10">
        <v>10</v>
      </c>
      <c r="E969" s="10">
        <v>215</v>
      </c>
      <c r="F969" s="10">
        <v>230</v>
      </c>
      <c r="G969" s="10">
        <v>546</v>
      </c>
      <c r="H969" s="10">
        <v>842</v>
      </c>
      <c r="I969" s="10" t="s">
        <v>2024</v>
      </c>
      <c r="J969" s="10" t="s">
        <v>304</v>
      </c>
      <c r="K969" s="10"/>
      <c r="L969" s="10" t="s">
        <v>2025</v>
      </c>
      <c r="M969" s="10" t="s">
        <v>85</v>
      </c>
      <c r="N969" s="10"/>
      <c r="O969" s="10" t="s">
        <v>250</v>
      </c>
      <c r="P969" s="10" t="s">
        <v>2026</v>
      </c>
      <c r="Q969" s="10" t="s">
        <v>2027</v>
      </c>
      <c r="R969" s="10">
        <v>1998</v>
      </c>
      <c r="S969" s="10" t="s">
        <v>253</v>
      </c>
      <c r="T969" s="10">
        <v>1</v>
      </c>
      <c r="U969" s="10"/>
      <c r="V969" s="10" t="s">
        <v>2028</v>
      </c>
      <c r="W969" s="10" t="s">
        <v>91</v>
      </c>
      <c r="X969" s="10" t="s">
        <v>126</v>
      </c>
      <c r="Y969" s="10" t="s">
        <v>190</v>
      </c>
      <c r="Z969" s="10" t="s">
        <v>191</v>
      </c>
      <c r="AA969" s="10" t="s">
        <v>192</v>
      </c>
      <c r="AB969" s="10" t="s">
        <v>227</v>
      </c>
      <c r="AC969" s="10" t="s">
        <v>228</v>
      </c>
      <c r="AD969" s="10" t="s">
        <v>132</v>
      </c>
      <c r="AE969" s="10" t="s">
        <v>133</v>
      </c>
      <c r="AF969" s="10" t="s">
        <v>100</v>
      </c>
      <c r="AG969" s="10" t="s">
        <v>102</v>
      </c>
      <c r="AH969" s="10" t="s">
        <v>102</v>
      </c>
      <c r="AI969" s="10" t="s">
        <v>134</v>
      </c>
      <c r="AJ969" s="10" t="s">
        <v>135</v>
      </c>
      <c r="AK969" s="10"/>
      <c r="AL969" s="10"/>
      <c r="AM969" s="10" t="s">
        <v>136</v>
      </c>
      <c r="AN969" s="10" t="s">
        <v>242</v>
      </c>
      <c r="AO969" s="10"/>
      <c r="AP969" s="10"/>
      <c r="AQ969" s="10"/>
      <c r="AR969" s="10"/>
      <c r="AS969" s="10"/>
      <c r="AT969" s="10"/>
      <c r="AU969" s="10">
        <f>(4.1747088+4.0549085)/2</f>
        <v>4.1148086500000005</v>
      </c>
      <c r="AV969" s="10"/>
      <c r="AW969" s="10" t="s">
        <v>108</v>
      </c>
      <c r="AX969" s="10"/>
      <c r="AY969" s="10"/>
      <c r="AZ969" s="10" t="s">
        <v>109</v>
      </c>
      <c r="BA969" s="10" t="s">
        <v>142</v>
      </c>
      <c r="BB969" s="10">
        <v>14</v>
      </c>
      <c r="BC969" s="10">
        <v>19</v>
      </c>
      <c r="BD969" s="10"/>
      <c r="BE969" s="10" t="s">
        <v>139</v>
      </c>
      <c r="BF969" s="10"/>
      <c r="BG969" s="10">
        <v>0.3</v>
      </c>
      <c r="BH969" s="10"/>
      <c r="BI969" s="10"/>
      <c r="BJ969" s="10"/>
      <c r="BK969" s="10"/>
      <c r="BL969" s="10"/>
      <c r="BM969" s="10">
        <v>8.9</v>
      </c>
      <c r="BN969" s="10"/>
      <c r="BO969" s="10">
        <v>7.8</v>
      </c>
      <c r="BP969" s="10"/>
      <c r="BQ969" s="10"/>
      <c r="BR969" s="10" t="s">
        <v>69</v>
      </c>
      <c r="BS969" s="10"/>
      <c r="BT969" s="10" t="s">
        <v>1728</v>
      </c>
      <c r="BU969" s="10" t="s">
        <v>2031</v>
      </c>
      <c r="BV969">
        <v>30.228506790000001</v>
      </c>
      <c r="BW969">
        <v>0.110859729</v>
      </c>
      <c r="BX969" t="s">
        <v>454</v>
      </c>
      <c r="BY969">
        <v>30.355203620000001</v>
      </c>
      <c r="BZ969">
        <v>7.9185519999999995E-2</v>
      </c>
      <c r="CA969" t="s">
        <v>454</v>
      </c>
      <c r="CB969" t="s">
        <v>215</v>
      </c>
      <c r="CC969" t="s">
        <v>2030</v>
      </c>
    </row>
    <row r="970" spans="1:81" x14ac:dyDescent="0.25">
      <c r="A970" s="10" t="s">
        <v>2023</v>
      </c>
      <c r="B970">
        <v>969</v>
      </c>
      <c r="C970" s="10">
        <v>71</v>
      </c>
      <c r="D970" s="10">
        <v>10</v>
      </c>
      <c r="E970" s="10">
        <v>215</v>
      </c>
      <c r="F970" s="10">
        <v>231</v>
      </c>
      <c r="G970" s="10">
        <v>547</v>
      </c>
      <c r="H970" s="10">
        <v>843</v>
      </c>
      <c r="I970" s="10" t="s">
        <v>2024</v>
      </c>
      <c r="J970" s="10" t="s">
        <v>304</v>
      </c>
      <c r="K970" s="10"/>
      <c r="L970" s="10" t="s">
        <v>2025</v>
      </c>
      <c r="M970" s="10" t="s">
        <v>85</v>
      </c>
      <c r="N970" s="10"/>
      <c r="O970" s="10" t="s">
        <v>250</v>
      </c>
      <c r="P970" s="10" t="s">
        <v>2026</v>
      </c>
      <c r="Q970" s="10" t="s">
        <v>2027</v>
      </c>
      <c r="R970" s="10">
        <v>1998</v>
      </c>
      <c r="S970" s="10" t="s">
        <v>253</v>
      </c>
      <c r="T970" s="10">
        <v>1</v>
      </c>
      <c r="U970" s="10"/>
      <c r="V970" s="10" t="s">
        <v>2028</v>
      </c>
      <c r="W970" s="10" t="s">
        <v>91</v>
      </c>
      <c r="X970" s="10" t="s">
        <v>126</v>
      </c>
      <c r="Y970" s="10" t="s">
        <v>190</v>
      </c>
      <c r="Z970" s="10" t="s">
        <v>191</v>
      </c>
      <c r="AA970" s="10" t="s">
        <v>192</v>
      </c>
      <c r="AB970" s="10" t="s">
        <v>227</v>
      </c>
      <c r="AC970" s="10" t="s">
        <v>228</v>
      </c>
      <c r="AD970" s="10" t="s">
        <v>132</v>
      </c>
      <c r="AE970" s="10" t="s">
        <v>133</v>
      </c>
      <c r="AF970" s="10" t="s">
        <v>100</v>
      </c>
      <c r="AG970" s="10" t="s">
        <v>102</v>
      </c>
      <c r="AH970" s="10" t="s">
        <v>102</v>
      </c>
      <c r="AI970" s="10" t="s">
        <v>134</v>
      </c>
      <c r="AJ970" s="10" t="s">
        <v>135</v>
      </c>
      <c r="AK970" s="10"/>
      <c r="AL970" s="10"/>
      <c r="AM970" s="10" t="s">
        <v>136</v>
      </c>
      <c r="AN970" s="10" t="s">
        <v>242</v>
      </c>
      <c r="AO970" s="10"/>
      <c r="AP970" s="10"/>
      <c r="AQ970" s="10"/>
      <c r="AR970" s="10"/>
      <c r="AS970" s="10"/>
      <c r="AT970" s="10"/>
      <c r="AU970" s="10">
        <f>(8.6222962+6.5257903)/2</f>
        <v>7.574043249999999</v>
      </c>
      <c r="AV970" s="10"/>
      <c r="AW970" s="10" t="s">
        <v>108</v>
      </c>
      <c r="AX970" s="10"/>
      <c r="AY970" s="10"/>
      <c r="AZ970" s="10" t="s">
        <v>109</v>
      </c>
      <c r="BA970" s="10" t="s">
        <v>138</v>
      </c>
      <c r="BB970" s="10">
        <v>19</v>
      </c>
      <c r="BC970" s="10">
        <v>22</v>
      </c>
      <c r="BD970" s="10"/>
      <c r="BE970" s="10" t="s">
        <v>139</v>
      </c>
      <c r="BF970" s="10"/>
      <c r="BG970" s="10">
        <v>0.3</v>
      </c>
      <c r="BH970" s="10"/>
      <c r="BI970" s="10"/>
      <c r="BJ970" s="10"/>
      <c r="BK970" s="10"/>
      <c r="BL970" s="10"/>
      <c r="BM970" s="10">
        <v>8.9</v>
      </c>
      <c r="BN970" s="10"/>
      <c r="BO970" s="10">
        <v>7.8</v>
      </c>
      <c r="BP970" s="10"/>
      <c r="BQ970" s="10"/>
      <c r="BR970" s="10" t="s">
        <v>69</v>
      </c>
      <c r="BS970" s="10"/>
      <c r="BT970" s="10" t="s">
        <v>1728</v>
      </c>
      <c r="BU970" s="10" t="s">
        <v>2032</v>
      </c>
      <c r="BV970">
        <v>29.674208140000001</v>
      </c>
      <c r="BW970">
        <v>2.834841629</v>
      </c>
      <c r="BX970" t="s">
        <v>454</v>
      </c>
      <c r="BY970">
        <v>30.481900450000001</v>
      </c>
      <c r="BZ970">
        <v>0.83936651600000001</v>
      </c>
      <c r="CA970" t="s">
        <v>454</v>
      </c>
      <c r="CB970" t="s">
        <v>215</v>
      </c>
      <c r="CC970" t="s">
        <v>2030</v>
      </c>
    </row>
    <row r="971" spans="1:81" x14ac:dyDescent="0.25">
      <c r="A971" s="10" t="s">
        <v>2023</v>
      </c>
      <c r="B971">
        <v>970</v>
      </c>
      <c r="C971" s="10">
        <v>71</v>
      </c>
      <c r="D971" s="10">
        <v>10</v>
      </c>
      <c r="E971" s="10">
        <v>215</v>
      </c>
      <c r="F971" s="10">
        <v>231</v>
      </c>
      <c r="G971" s="10">
        <v>547</v>
      </c>
      <c r="H971" s="10">
        <v>844</v>
      </c>
      <c r="I971" s="10" t="s">
        <v>2024</v>
      </c>
      <c r="J971" s="10" t="s">
        <v>304</v>
      </c>
      <c r="K971" s="10"/>
      <c r="L971" s="10" t="s">
        <v>2025</v>
      </c>
      <c r="M971" s="10" t="s">
        <v>85</v>
      </c>
      <c r="N971" s="10"/>
      <c r="O971" s="10" t="s">
        <v>250</v>
      </c>
      <c r="P971" s="10" t="s">
        <v>2026</v>
      </c>
      <c r="Q971" s="10" t="s">
        <v>2027</v>
      </c>
      <c r="R971" s="10">
        <v>1998</v>
      </c>
      <c r="S971" s="10" t="s">
        <v>253</v>
      </c>
      <c r="T971" s="10">
        <v>1</v>
      </c>
      <c r="U971" s="10"/>
      <c r="V971" s="10" t="s">
        <v>2028</v>
      </c>
      <c r="W971" s="10" t="s">
        <v>91</v>
      </c>
      <c r="X971" s="10" t="s">
        <v>126</v>
      </c>
      <c r="Y971" s="10" t="s">
        <v>190</v>
      </c>
      <c r="Z971" s="10" t="s">
        <v>191</v>
      </c>
      <c r="AA971" s="10" t="s">
        <v>192</v>
      </c>
      <c r="AB971" s="10" t="s">
        <v>227</v>
      </c>
      <c r="AC971" s="10" t="s">
        <v>228</v>
      </c>
      <c r="AD971" s="10" t="s">
        <v>132</v>
      </c>
      <c r="AE971" s="10" t="s">
        <v>133</v>
      </c>
      <c r="AF971" s="10" t="s">
        <v>100</v>
      </c>
      <c r="AG971" s="10" t="s">
        <v>102</v>
      </c>
      <c r="AH971" s="10" t="s">
        <v>102</v>
      </c>
      <c r="AI971" s="10" t="s">
        <v>134</v>
      </c>
      <c r="AJ971" s="10" t="s">
        <v>135</v>
      </c>
      <c r="AK971" s="10"/>
      <c r="AL971" s="10"/>
      <c r="AM971" s="10" t="s">
        <v>136</v>
      </c>
      <c r="AN971" s="10" t="s">
        <v>242</v>
      </c>
      <c r="AO971" s="10"/>
      <c r="AP971" s="10"/>
      <c r="AQ971" s="10"/>
      <c r="AR971" s="10"/>
      <c r="AS971" s="10"/>
      <c r="AT971" s="10"/>
      <c r="AU971" s="10">
        <f>(6.5257903+3.2462562)/2</f>
        <v>4.88602325</v>
      </c>
      <c r="AV971" s="10"/>
      <c r="AW971" s="10" t="s">
        <v>108</v>
      </c>
      <c r="AX971" s="10"/>
      <c r="AY971" s="10"/>
      <c r="AZ971" s="10" t="s">
        <v>109</v>
      </c>
      <c r="BA971" s="10" t="s">
        <v>138</v>
      </c>
      <c r="BB971" s="10">
        <v>22</v>
      </c>
      <c r="BC971" s="10">
        <v>25</v>
      </c>
      <c r="BD971" s="10"/>
      <c r="BE971" s="10" t="s">
        <v>139</v>
      </c>
      <c r="BF971" s="10"/>
      <c r="BG971" s="10">
        <v>0.3</v>
      </c>
      <c r="BH971" s="10"/>
      <c r="BI971" s="10"/>
      <c r="BJ971" s="10"/>
      <c r="BK971" s="10"/>
      <c r="BL971" s="10"/>
      <c r="BM971" s="10">
        <v>8.9</v>
      </c>
      <c r="BN971" s="10"/>
      <c r="BO971" s="10">
        <v>7.8</v>
      </c>
      <c r="BP971" s="10"/>
      <c r="BQ971" s="10"/>
      <c r="BR971" s="10" t="s">
        <v>69</v>
      </c>
      <c r="BS971" s="10"/>
      <c r="BT971" s="10" t="s">
        <v>1728</v>
      </c>
      <c r="BU971" s="10" t="s">
        <v>2032</v>
      </c>
      <c r="BV971">
        <v>30.481900450000001</v>
      </c>
      <c r="BW971">
        <v>0.83936651600000001</v>
      </c>
      <c r="BX971" t="s">
        <v>454</v>
      </c>
      <c r="BY971">
        <v>30.84615385</v>
      </c>
      <c r="BZ971">
        <v>1.266968326</v>
      </c>
      <c r="CA971" t="s">
        <v>454</v>
      </c>
      <c r="CB971" t="s">
        <v>215</v>
      </c>
      <c r="CC971" t="s">
        <v>2030</v>
      </c>
    </row>
    <row r="972" spans="1:81" x14ac:dyDescent="0.25">
      <c r="A972" s="10" t="s">
        <v>2023</v>
      </c>
      <c r="B972">
        <v>971</v>
      </c>
      <c r="C972" s="10">
        <v>71</v>
      </c>
      <c r="D972" s="10">
        <v>10</v>
      </c>
      <c r="E972" s="10">
        <v>215</v>
      </c>
      <c r="F972" s="10">
        <v>231</v>
      </c>
      <c r="G972" s="10">
        <v>548</v>
      </c>
      <c r="H972" s="10">
        <v>843</v>
      </c>
      <c r="I972" s="10" t="s">
        <v>2024</v>
      </c>
      <c r="J972" s="10" t="s">
        <v>304</v>
      </c>
      <c r="K972" s="10"/>
      <c r="L972" s="10" t="s">
        <v>2025</v>
      </c>
      <c r="M972" s="10" t="s">
        <v>85</v>
      </c>
      <c r="N972" s="10"/>
      <c r="O972" s="10" t="s">
        <v>250</v>
      </c>
      <c r="P972" s="10" t="s">
        <v>2026</v>
      </c>
      <c r="Q972" s="10" t="s">
        <v>2027</v>
      </c>
      <c r="R972" s="10">
        <v>1998</v>
      </c>
      <c r="S972" s="10" t="s">
        <v>253</v>
      </c>
      <c r="T972" s="10">
        <v>1</v>
      </c>
      <c r="U972" s="10"/>
      <c r="V972" s="10" t="s">
        <v>2028</v>
      </c>
      <c r="W972" s="10" t="s">
        <v>91</v>
      </c>
      <c r="X972" s="10" t="s">
        <v>126</v>
      </c>
      <c r="Y972" s="10" t="s">
        <v>190</v>
      </c>
      <c r="Z972" s="10" t="s">
        <v>191</v>
      </c>
      <c r="AA972" s="10" t="s">
        <v>192</v>
      </c>
      <c r="AB972" s="10" t="s">
        <v>227</v>
      </c>
      <c r="AC972" s="10" t="s">
        <v>228</v>
      </c>
      <c r="AD972" s="10" t="s">
        <v>132</v>
      </c>
      <c r="AE972" s="10" t="s">
        <v>133</v>
      </c>
      <c r="AF972" s="10" t="s">
        <v>100</v>
      </c>
      <c r="AG972" s="10" t="s">
        <v>102</v>
      </c>
      <c r="AH972" s="10" t="s">
        <v>102</v>
      </c>
      <c r="AI972" s="10" t="s">
        <v>134</v>
      </c>
      <c r="AJ972" s="10" t="s">
        <v>135</v>
      </c>
      <c r="AK972" s="10"/>
      <c r="AL972" s="10"/>
      <c r="AM972" s="10" t="s">
        <v>136</v>
      </c>
      <c r="AN972" s="10" t="s">
        <v>242</v>
      </c>
      <c r="AO972" s="10"/>
      <c r="AP972" s="10"/>
      <c r="AQ972" s="10"/>
      <c r="AR972" s="10"/>
      <c r="AS972" s="10"/>
      <c r="AT972" s="10"/>
      <c r="AU972" s="10">
        <f>(8.6222962+6.5257903)/2</f>
        <v>7.574043249999999</v>
      </c>
      <c r="AV972" s="10"/>
      <c r="AW972" s="10" t="s">
        <v>108</v>
      </c>
      <c r="AX972" s="10"/>
      <c r="AY972" s="10"/>
      <c r="AZ972" s="10" t="s">
        <v>109</v>
      </c>
      <c r="BA972" s="10" t="s">
        <v>142</v>
      </c>
      <c r="BB972" s="10">
        <v>19</v>
      </c>
      <c r="BC972" s="10">
        <v>22</v>
      </c>
      <c r="BD972" s="10"/>
      <c r="BE972" s="10" t="s">
        <v>139</v>
      </c>
      <c r="BF972" s="10"/>
      <c r="BG972" s="10">
        <v>0.3</v>
      </c>
      <c r="BH972" s="10"/>
      <c r="BI972" s="10"/>
      <c r="BJ972" s="10"/>
      <c r="BK972" s="10"/>
      <c r="BL972" s="10"/>
      <c r="BM972" s="10">
        <v>8.9</v>
      </c>
      <c r="BN972" s="10"/>
      <c r="BO972" s="10">
        <v>7.8</v>
      </c>
      <c r="BP972" s="10"/>
      <c r="BQ972" s="10"/>
      <c r="BR972" s="10" t="s">
        <v>69</v>
      </c>
      <c r="BS972" s="10"/>
      <c r="BT972" s="10" t="s">
        <v>1728</v>
      </c>
      <c r="BU972" s="10" t="s">
        <v>2032</v>
      </c>
      <c r="BV972">
        <v>30.43438914</v>
      </c>
      <c r="BW972">
        <v>2.1063348419999999</v>
      </c>
      <c r="BX972" t="s">
        <v>454</v>
      </c>
      <c r="BY972">
        <v>30.957013570000001</v>
      </c>
      <c r="BZ972">
        <v>0.53846153799999996</v>
      </c>
      <c r="CA972" t="s">
        <v>454</v>
      </c>
      <c r="CB972" t="s">
        <v>215</v>
      </c>
      <c r="CC972" t="s">
        <v>2030</v>
      </c>
    </row>
    <row r="973" spans="1:81" x14ac:dyDescent="0.25">
      <c r="A973" s="10" t="s">
        <v>2023</v>
      </c>
      <c r="B973">
        <v>972</v>
      </c>
      <c r="C973" s="10">
        <v>71</v>
      </c>
      <c r="D973" s="10">
        <v>10</v>
      </c>
      <c r="E973" s="10">
        <v>215</v>
      </c>
      <c r="F973" s="10">
        <v>231</v>
      </c>
      <c r="G973" s="10">
        <v>548</v>
      </c>
      <c r="H973" s="10">
        <v>844</v>
      </c>
      <c r="I973" s="10" t="s">
        <v>2024</v>
      </c>
      <c r="J973" s="10" t="s">
        <v>304</v>
      </c>
      <c r="K973" s="10"/>
      <c r="L973" s="10" t="s">
        <v>2025</v>
      </c>
      <c r="M973" s="10" t="s">
        <v>85</v>
      </c>
      <c r="N973" s="10"/>
      <c r="O973" s="10" t="s">
        <v>250</v>
      </c>
      <c r="P973" s="10" t="s">
        <v>2026</v>
      </c>
      <c r="Q973" s="10" t="s">
        <v>2027</v>
      </c>
      <c r="R973" s="10">
        <v>1998</v>
      </c>
      <c r="S973" s="10" t="s">
        <v>253</v>
      </c>
      <c r="T973" s="10">
        <v>1</v>
      </c>
      <c r="U973" s="10"/>
      <c r="V973" s="10" t="s">
        <v>2028</v>
      </c>
      <c r="W973" s="10" t="s">
        <v>91</v>
      </c>
      <c r="X973" s="10" t="s">
        <v>126</v>
      </c>
      <c r="Y973" s="10" t="s">
        <v>190</v>
      </c>
      <c r="Z973" s="10" t="s">
        <v>191</v>
      </c>
      <c r="AA973" s="10" t="s">
        <v>192</v>
      </c>
      <c r="AB973" s="10" t="s">
        <v>227</v>
      </c>
      <c r="AC973" s="10" t="s">
        <v>228</v>
      </c>
      <c r="AD973" s="10" t="s">
        <v>132</v>
      </c>
      <c r="AE973" s="10" t="s">
        <v>133</v>
      </c>
      <c r="AF973" s="10" t="s">
        <v>100</v>
      </c>
      <c r="AG973" s="10" t="s">
        <v>102</v>
      </c>
      <c r="AH973" s="10" t="s">
        <v>102</v>
      </c>
      <c r="AI973" s="10" t="s">
        <v>134</v>
      </c>
      <c r="AJ973" s="10" t="s">
        <v>135</v>
      </c>
      <c r="AK973" s="10"/>
      <c r="AL973" s="10"/>
      <c r="AM973" s="10" t="s">
        <v>136</v>
      </c>
      <c r="AN973" s="10" t="s">
        <v>242</v>
      </c>
      <c r="AO973" s="10"/>
      <c r="AP973" s="10"/>
      <c r="AQ973" s="10"/>
      <c r="AR973" s="10"/>
      <c r="AS973" s="10"/>
      <c r="AT973" s="10"/>
      <c r="AU973" s="10">
        <f>(6.5257903+3.2462562)/2</f>
        <v>4.88602325</v>
      </c>
      <c r="AV973" s="10"/>
      <c r="AW973" s="10" t="s">
        <v>108</v>
      </c>
      <c r="AX973" s="10"/>
      <c r="AY973" s="10"/>
      <c r="AZ973" s="10" t="s">
        <v>109</v>
      </c>
      <c r="BA973" s="10" t="s">
        <v>142</v>
      </c>
      <c r="BB973" s="10">
        <v>22</v>
      </c>
      <c r="BC973" s="10">
        <v>25</v>
      </c>
      <c r="BD973" s="10"/>
      <c r="BE973" s="10" t="s">
        <v>139</v>
      </c>
      <c r="BF973" s="10"/>
      <c r="BG973" s="10">
        <v>0.3</v>
      </c>
      <c r="BH973" s="10"/>
      <c r="BI973" s="10"/>
      <c r="BJ973" s="10"/>
      <c r="BK973" s="10"/>
      <c r="BL973" s="10"/>
      <c r="BM973" s="10">
        <v>8.9</v>
      </c>
      <c r="BN973" s="10"/>
      <c r="BO973" s="10">
        <v>7.8</v>
      </c>
      <c r="BP973" s="10"/>
      <c r="BQ973" s="10"/>
      <c r="BR973" s="10" t="s">
        <v>69</v>
      </c>
      <c r="BS973" s="10"/>
      <c r="BT973" s="10" t="s">
        <v>1728</v>
      </c>
      <c r="BU973" s="10" t="s">
        <v>2032</v>
      </c>
      <c r="BV973">
        <v>30.957013570000001</v>
      </c>
      <c r="BW973">
        <v>0.53846153799999996</v>
      </c>
      <c r="BX973" t="s">
        <v>454</v>
      </c>
      <c r="BY973">
        <v>31.685520360000002</v>
      </c>
      <c r="BZ973">
        <v>0.72850678700000004</v>
      </c>
      <c r="CA973" t="s">
        <v>454</v>
      </c>
      <c r="CB973" t="s">
        <v>215</v>
      </c>
      <c r="CC973" t="s">
        <v>2030</v>
      </c>
    </row>
    <row r="974" spans="1:81" x14ac:dyDescent="0.25">
      <c r="A974" s="10" t="s">
        <v>2000</v>
      </c>
      <c r="B974">
        <v>973</v>
      </c>
      <c r="C974" s="10">
        <v>72</v>
      </c>
      <c r="D974" s="10">
        <v>10</v>
      </c>
      <c r="E974" s="10">
        <v>216</v>
      </c>
      <c r="F974" s="10">
        <v>232</v>
      </c>
      <c r="G974" s="10">
        <v>549</v>
      </c>
      <c r="H974" s="10">
        <v>845</v>
      </c>
      <c r="I974" s="10" t="s">
        <v>2033</v>
      </c>
      <c r="J974" s="10" t="s">
        <v>211</v>
      </c>
      <c r="K974" s="10"/>
      <c r="L974" s="10"/>
      <c r="M974" s="10" t="s">
        <v>85</v>
      </c>
      <c r="N974" s="10"/>
      <c r="O974" s="10" t="s">
        <v>14</v>
      </c>
      <c r="P974" s="10" t="s">
        <v>2034</v>
      </c>
      <c r="Q974" s="10" t="s">
        <v>2035</v>
      </c>
      <c r="R974" s="10">
        <v>2000</v>
      </c>
      <c r="S974" s="10" t="s">
        <v>123</v>
      </c>
      <c r="T974" s="10"/>
      <c r="U974" s="10" t="s">
        <v>2036</v>
      </c>
      <c r="V974" s="10" t="s">
        <v>2037</v>
      </c>
      <c r="W974" s="10" t="s">
        <v>91</v>
      </c>
      <c r="X974" s="10" t="s">
        <v>126</v>
      </c>
      <c r="Y974" s="10" t="s">
        <v>190</v>
      </c>
      <c r="Z974" s="10" t="s">
        <v>191</v>
      </c>
      <c r="AA974" s="10" t="s">
        <v>192</v>
      </c>
      <c r="AB974" s="10" t="s">
        <v>227</v>
      </c>
      <c r="AC974" s="10" t="s">
        <v>228</v>
      </c>
      <c r="AD974" s="10" t="s">
        <v>132</v>
      </c>
      <c r="AE974" s="10" t="s">
        <v>133</v>
      </c>
      <c r="AF974" s="10" t="s">
        <v>100</v>
      </c>
      <c r="AG974" s="10" t="s">
        <v>102</v>
      </c>
      <c r="AH974" s="10" t="s">
        <v>102</v>
      </c>
      <c r="AI974" s="10" t="s">
        <v>134</v>
      </c>
      <c r="AJ974" s="10" t="s">
        <v>135</v>
      </c>
      <c r="AK974" s="10"/>
      <c r="AL974" s="10"/>
      <c r="AM974" s="10" t="s">
        <v>136</v>
      </c>
      <c r="AN974" s="10" t="s">
        <v>242</v>
      </c>
      <c r="AO974" s="10"/>
      <c r="AP974" s="10"/>
      <c r="AQ974" s="10"/>
      <c r="AR974" s="10"/>
      <c r="AS974" s="10"/>
      <c r="AT974" s="10"/>
      <c r="AU974" s="10">
        <v>8.34</v>
      </c>
      <c r="AV974" s="10"/>
      <c r="AW974" s="10" t="s">
        <v>108</v>
      </c>
      <c r="AX974" s="10">
        <v>14</v>
      </c>
      <c r="AY974" s="10" t="s">
        <v>103</v>
      </c>
      <c r="AZ974" s="10" t="s">
        <v>109</v>
      </c>
      <c r="BA974" s="10" t="s">
        <v>138</v>
      </c>
      <c r="BB974" s="10">
        <v>19</v>
      </c>
      <c r="BC974" s="10">
        <v>22</v>
      </c>
      <c r="BD974" s="10"/>
      <c r="BE974" s="10" t="s">
        <v>139</v>
      </c>
      <c r="BF974" s="10">
        <v>30</v>
      </c>
      <c r="BG974" s="10">
        <v>0.3</v>
      </c>
      <c r="BH974" s="10"/>
      <c r="BI974" s="10"/>
      <c r="BJ974" s="10"/>
      <c r="BK974" s="10"/>
      <c r="BL974" s="10"/>
      <c r="BM974" s="10"/>
      <c r="BN974" s="10"/>
      <c r="BO974" s="10">
        <v>7.8</v>
      </c>
      <c r="BP974" s="10"/>
      <c r="BQ974" s="10"/>
      <c r="BR974" s="10" t="s">
        <v>69</v>
      </c>
      <c r="BS974" s="10"/>
      <c r="BT974" s="10"/>
      <c r="BU974" s="10" t="s">
        <v>2038</v>
      </c>
      <c r="BV974">
        <v>30.6</v>
      </c>
      <c r="BW974">
        <v>0.93338095099999996</v>
      </c>
      <c r="BX974">
        <v>18</v>
      </c>
      <c r="BY974">
        <v>31</v>
      </c>
      <c r="BZ974">
        <v>0.78339006899999997</v>
      </c>
      <c r="CA974">
        <v>17</v>
      </c>
      <c r="CB974" t="s">
        <v>113</v>
      </c>
      <c r="CC974" t="s">
        <v>770</v>
      </c>
    </row>
    <row r="975" spans="1:81" x14ac:dyDescent="0.25">
      <c r="A975" s="10" t="s">
        <v>2000</v>
      </c>
      <c r="B975">
        <v>974</v>
      </c>
      <c r="C975" s="10">
        <v>72</v>
      </c>
      <c r="D975" s="10">
        <v>10</v>
      </c>
      <c r="E975" s="10">
        <v>216</v>
      </c>
      <c r="F975" s="10">
        <v>232</v>
      </c>
      <c r="G975" s="10">
        <v>549</v>
      </c>
      <c r="H975" s="10">
        <v>846</v>
      </c>
      <c r="I975" s="10" t="s">
        <v>2033</v>
      </c>
      <c r="J975" s="10" t="s">
        <v>211</v>
      </c>
      <c r="K975" s="10"/>
      <c r="L975" s="10"/>
      <c r="M975" s="10" t="s">
        <v>85</v>
      </c>
      <c r="N975" s="10"/>
      <c r="O975" s="10" t="s">
        <v>14</v>
      </c>
      <c r="P975" s="10" t="s">
        <v>2039</v>
      </c>
      <c r="Q975" s="10" t="s">
        <v>2035</v>
      </c>
      <c r="R975" s="10">
        <v>2000</v>
      </c>
      <c r="S975" s="10" t="s">
        <v>123</v>
      </c>
      <c r="T975" s="10"/>
      <c r="U975" s="10" t="s">
        <v>2036</v>
      </c>
      <c r="V975" s="10" t="s">
        <v>2040</v>
      </c>
      <c r="W975" s="10" t="s">
        <v>91</v>
      </c>
      <c r="X975" s="10" t="s">
        <v>126</v>
      </c>
      <c r="Y975" s="10" t="s">
        <v>190</v>
      </c>
      <c r="Z975" s="10" t="s">
        <v>191</v>
      </c>
      <c r="AA975" s="10" t="s">
        <v>192</v>
      </c>
      <c r="AB975" s="10" t="s">
        <v>227</v>
      </c>
      <c r="AC975" s="10" t="s">
        <v>228</v>
      </c>
      <c r="AD975" s="10" t="s">
        <v>132</v>
      </c>
      <c r="AE975" s="10" t="s">
        <v>133</v>
      </c>
      <c r="AF975" s="10" t="s">
        <v>100</v>
      </c>
      <c r="AG975" s="10" t="s">
        <v>102</v>
      </c>
      <c r="AH975" s="10" t="s">
        <v>102</v>
      </c>
      <c r="AI975" s="10" t="s">
        <v>134</v>
      </c>
      <c r="AJ975" s="10" t="s">
        <v>135</v>
      </c>
      <c r="AK975" s="10"/>
      <c r="AL975" s="10"/>
      <c r="AM975" s="10" t="s">
        <v>136</v>
      </c>
      <c r="AN975" s="10" t="s">
        <v>242</v>
      </c>
      <c r="AO975" s="10"/>
      <c r="AP975" s="10"/>
      <c r="AQ975" s="10"/>
      <c r="AR975" s="10"/>
      <c r="AS975" s="10"/>
      <c r="AT975" s="10"/>
      <c r="AU975" s="10">
        <v>6.79</v>
      </c>
      <c r="AV975" s="10"/>
      <c r="AW975" s="10" t="s">
        <v>108</v>
      </c>
      <c r="AX975" s="10">
        <v>14</v>
      </c>
      <c r="AY975" s="10" t="s">
        <v>103</v>
      </c>
      <c r="AZ975" s="10" t="s">
        <v>109</v>
      </c>
      <c r="BA975" s="10" t="s">
        <v>138</v>
      </c>
      <c r="BB975" s="10">
        <v>22</v>
      </c>
      <c r="BC975" s="10">
        <v>25</v>
      </c>
      <c r="BD975" s="10"/>
      <c r="BE975" s="10" t="s">
        <v>139</v>
      </c>
      <c r="BF975" s="10">
        <v>30</v>
      </c>
      <c r="BG975" s="10">
        <v>0.3</v>
      </c>
      <c r="BH975" s="10"/>
      <c r="BI975" s="10"/>
      <c r="BJ975" s="10"/>
      <c r="BK975" s="10"/>
      <c r="BL975" s="10"/>
      <c r="BM975" s="10"/>
      <c r="BN975" s="10"/>
      <c r="BO975" s="10">
        <v>7.8</v>
      </c>
      <c r="BP975" s="10"/>
      <c r="BQ975" s="10"/>
      <c r="BR975" s="10" t="s">
        <v>69</v>
      </c>
      <c r="BS975" s="10"/>
      <c r="BT975" s="10"/>
      <c r="BU975" s="10" t="s">
        <v>2038</v>
      </c>
      <c r="BV975">
        <v>31</v>
      </c>
      <c r="BW975">
        <v>0.78339006899999997</v>
      </c>
      <c r="BX975">
        <v>17</v>
      </c>
      <c r="BY975">
        <v>32</v>
      </c>
      <c r="BZ975">
        <v>0.56999999999999995</v>
      </c>
      <c r="CA975">
        <v>9</v>
      </c>
      <c r="CB975" t="s">
        <v>113</v>
      </c>
      <c r="CC975" t="s">
        <v>770</v>
      </c>
    </row>
    <row r="976" spans="1:81" x14ac:dyDescent="0.25">
      <c r="A976" s="10" t="s">
        <v>2000</v>
      </c>
      <c r="B976">
        <v>975</v>
      </c>
      <c r="C976" s="10">
        <v>72</v>
      </c>
      <c r="D976" s="10">
        <v>10</v>
      </c>
      <c r="E976" s="10">
        <v>217</v>
      </c>
      <c r="F976" s="10">
        <v>233</v>
      </c>
      <c r="G976" s="10">
        <v>550</v>
      </c>
      <c r="H976" s="10">
        <v>847</v>
      </c>
      <c r="I976" s="10" t="s">
        <v>2033</v>
      </c>
      <c r="J976" s="10" t="s">
        <v>211</v>
      </c>
      <c r="K976" s="10"/>
      <c r="L976" s="10"/>
      <c r="M976" s="10" t="s">
        <v>85</v>
      </c>
      <c r="N976" s="10"/>
      <c r="O976" s="10" t="s">
        <v>14</v>
      </c>
      <c r="P976" s="10" t="s">
        <v>2041</v>
      </c>
      <c r="Q976" s="10" t="s">
        <v>2035</v>
      </c>
      <c r="R976" s="10">
        <v>2000</v>
      </c>
      <c r="S976" s="10" t="s">
        <v>123</v>
      </c>
      <c r="T976" s="10"/>
      <c r="U976" s="10" t="s">
        <v>2036</v>
      </c>
      <c r="V976" s="10" t="s">
        <v>2042</v>
      </c>
      <c r="W976" s="10" t="s">
        <v>91</v>
      </c>
      <c r="X976" s="10" t="s">
        <v>126</v>
      </c>
      <c r="Y976" s="10" t="s">
        <v>190</v>
      </c>
      <c r="Z976" s="10" t="s">
        <v>191</v>
      </c>
      <c r="AA976" s="10" t="s">
        <v>192</v>
      </c>
      <c r="AB976" s="10" t="s">
        <v>227</v>
      </c>
      <c r="AC976" s="10" t="s">
        <v>228</v>
      </c>
      <c r="AD976" s="10" t="s">
        <v>132</v>
      </c>
      <c r="AE976" s="10" t="s">
        <v>133</v>
      </c>
      <c r="AF976" s="10" t="s">
        <v>100</v>
      </c>
      <c r="AG976" s="10" t="s">
        <v>102</v>
      </c>
      <c r="AH976" s="10" t="s">
        <v>102</v>
      </c>
      <c r="AI976" s="10" t="s">
        <v>134</v>
      </c>
      <c r="AJ976" s="10" t="s">
        <v>135</v>
      </c>
      <c r="AK976" s="10"/>
      <c r="AL976" s="10"/>
      <c r="AM976" s="10" t="s">
        <v>136</v>
      </c>
      <c r="AN976" s="10" t="s">
        <v>242</v>
      </c>
      <c r="AO976" s="10"/>
      <c r="AP976" s="10"/>
      <c r="AQ976" s="10"/>
      <c r="AR976" s="10"/>
      <c r="AS976" s="10"/>
      <c r="AT976" s="10"/>
      <c r="AU976" s="10">
        <v>11.7</v>
      </c>
      <c r="AV976" s="10"/>
      <c r="AW976" s="10" t="s">
        <v>108</v>
      </c>
      <c r="AX976" s="10">
        <v>14</v>
      </c>
      <c r="AY976" s="10" t="s">
        <v>103</v>
      </c>
      <c r="AZ976" s="10" t="s">
        <v>109</v>
      </c>
      <c r="BA976" s="10" t="s">
        <v>138</v>
      </c>
      <c r="BB976" s="10">
        <v>19</v>
      </c>
      <c r="BC976" s="10">
        <v>22</v>
      </c>
      <c r="BD976" s="10"/>
      <c r="BE976" s="10" t="s">
        <v>139</v>
      </c>
      <c r="BF976" s="10">
        <v>30</v>
      </c>
      <c r="BG976" s="10">
        <v>0.3</v>
      </c>
      <c r="BH976" s="10"/>
      <c r="BI976" s="10"/>
      <c r="BJ976" s="10"/>
      <c r="BK976" s="10"/>
      <c r="BL976" s="10"/>
      <c r="BM976" s="10"/>
      <c r="BN976" s="10"/>
      <c r="BO976" s="10">
        <v>7.8</v>
      </c>
      <c r="BP976" s="10"/>
      <c r="BQ976" s="10"/>
      <c r="BR976" s="10" t="s">
        <v>69</v>
      </c>
      <c r="BS976" s="10"/>
      <c r="BT976" s="10"/>
      <c r="BU976" s="10" t="s">
        <v>2043</v>
      </c>
      <c r="BV976">
        <v>30</v>
      </c>
      <c r="BW976">
        <v>1.2727922060000001</v>
      </c>
      <c r="BX976">
        <v>18</v>
      </c>
      <c r="BY976">
        <v>30.7</v>
      </c>
      <c r="BZ976">
        <v>0.74215901299999998</v>
      </c>
      <c r="CA976">
        <v>17</v>
      </c>
      <c r="CB976" t="s">
        <v>113</v>
      </c>
      <c r="CC976" t="s">
        <v>770</v>
      </c>
    </row>
    <row r="977" spans="1:81" x14ac:dyDescent="0.25">
      <c r="A977" s="10" t="s">
        <v>2000</v>
      </c>
      <c r="B977">
        <v>976</v>
      </c>
      <c r="C977" s="10">
        <v>72</v>
      </c>
      <c r="D977" s="10">
        <v>10</v>
      </c>
      <c r="E977" s="10">
        <v>217</v>
      </c>
      <c r="F977" s="10">
        <v>233</v>
      </c>
      <c r="G977" s="10">
        <v>550</v>
      </c>
      <c r="H977" s="10">
        <v>848</v>
      </c>
      <c r="I977" s="10" t="s">
        <v>2033</v>
      </c>
      <c r="J977" s="10" t="s">
        <v>211</v>
      </c>
      <c r="K977" s="10"/>
      <c r="L977" s="10"/>
      <c r="M977" s="10" t="s">
        <v>85</v>
      </c>
      <c r="N977" s="10"/>
      <c r="O977" s="10" t="s">
        <v>14</v>
      </c>
      <c r="P977" s="10" t="s">
        <v>2041</v>
      </c>
      <c r="Q977" s="10" t="s">
        <v>2035</v>
      </c>
      <c r="R977" s="10">
        <v>2000</v>
      </c>
      <c r="S977" s="10" t="s">
        <v>123</v>
      </c>
      <c r="T977" s="10"/>
      <c r="U977" s="10" t="s">
        <v>2036</v>
      </c>
      <c r="V977" s="10" t="s">
        <v>2042</v>
      </c>
      <c r="W977" s="10" t="s">
        <v>91</v>
      </c>
      <c r="X977" s="10" t="s">
        <v>126</v>
      </c>
      <c r="Y977" s="10" t="s">
        <v>190</v>
      </c>
      <c r="Z977" s="10" t="s">
        <v>191</v>
      </c>
      <c r="AA977" s="10" t="s">
        <v>192</v>
      </c>
      <c r="AB977" s="10" t="s">
        <v>227</v>
      </c>
      <c r="AC977" s="10" t="s">
        <v>228</v>
      </c>
      <c r="AD977" s="10" t="s">
        <v>132</v>
      </c>
      <c r="AE977" s="10" t="s">
        <v>133</v>
      </c>
      <c r="AF977" s="10" t="s">
        <v>100</v>
      </c>
      <c r="AG977" s="10" t="s">
        <v>102</v>
      </c>
      <c r="AH977" s="10" t="s">
        <v>102</v>
      </c>
      <c r="AI977" s="10" t="s">
        <v>134</v>
      </c>
      <c r="AJ977" s="10" t="s">
        <v>135</v>
      </c>
      <c r="AK977" s="10"/>
      <c r="AL977" s="10"/>
      <c r="AM977" s="10" t="s">
        <v>136</v>
      </c>
      <c r="AN977" s="10" t="s">
        <v>242</v>
      </c>
      <c r="AO977" s="10"/>
      <c r="AP977" s="10"/>
      <c r="AQ977" s="10"/>
      <c r="AR977" s="10"/>
      <c r="AS977" s="10"/>
      <c r="AT977" s="10"/>
      <c r="AU977" s="10">
        <v>8.1</v>
      </c>
      <c r="AV977" s="10"/>
      <c r="AW977" s="10" t="s">
        <v>108</v>
      </c>
      <c r="AX977" s="10">
        <v>14</v>
      </c>
      <c r="AY977" s="10" t="s">
        <v>103</v>
      </c>
      <c r="AZ977" s="10" t="s">
        <v>109</v>
      </c>
      <c r="BA977" s="10" t="s">
        <v>138</v>
      </c>
      <c r="BB977" s="10">
        <v>22</v>
      </c>
      <c r="BC977" s="10">
        <v>25</v>
      </c>
      <c r="BD977" s="10"/>
      <c r="BE977" s="10" t="s">
        <v>139</v>
      </c>
      <c r="BF977" s="10">
        <v>30</v>
      </c>
      <c r="BG977" s="10">
        <v>0.3</v>
      </c>
      <c r="BH977" s="10"/>
      <c r="BI977" s="10"/>
      <c r="BJ977" s="10"/>
      <c r="BK977" s="10"/>
      <c r="BL977" s="10"/>
      <c r="BM977" s="10"/>
      <c r="BN977" s="10"/>
      <c r="BO977" s="10">
        <v>7.8</v>
      </c>
      <c r="BP977" s="10"/>
      <c r="BQ977" s="10"/>
      <c r="BR977" s="10" t="s">
        <v>69</v>
      </c>
      <c r="BS977" s="10"/>
      <c r="BT977" s="10"/>
      <c r="BU977" s="10" t="s">
        <v>2043</v>
      </c>
      <c r="BV977">
        <v>30.7</v>
      </c>
      <c r="BW977">
        <v>0.74215901299999998</v>
      </c>
      <c r="BX977">
        <v>17</v>
      </c>
      <c r="BY977">
        <v>31.5</v>
      </c>
      <c r="BZ977">
        <v>0.27</v>
      </c>
      <c r="CA977">
        <v>9</v>
      </c>
      <c r="CB977" t="s">
        <v>113</v>
      </c>
      <c r="CC977" t="s">
        <v>770</v>
      </c>
    </row>
    <row r="978" spans="1:81" x14ac:dyDescent="0.25">
      <c r="A978" s="10" t="s">
        <v>2023</v>
      </c>
      <c r="B978">
        <v>977</v>
      </c>
      <c r="C978" s="10">
        <v>72</v>
      </c>
      <c r="D978" s="10">
        <v>10</v>
      </c>
      <c r="E978" s="10">
        <v>216</v>
      </c>
      <c r="F978" s="10">
        <v>234</v>
      </c>
      <c r="G978" s="10">
        <v>551</v>
      </c>
      <c r="H978" s="10">
        <v>849</v>
      </c>
      <c r="I978" s="10" t="s">
        <v>2033</v>
      </c>
      <c r="J978" s="10" t="s">
        <v>211</v>
      </c>
      <c r="K978" s="10"/>
      <c r="L978" s="10"/>
      <c r="M978" s="10" t="s">
        <v>85</v>
      </c>
      <c r="N978" s="10"/>
      <c r="O978" s="10" t="s">
        <v>14</v>
      </c>
      <c r="P978" s="10" t="s">
        <v>2041</v>
      </c>
      <c r="Q978" s="10" t="s">
        <v>2035</v>
      </c>
      <c r="R978" s="10">
        <v>2000</v>
      </c>
      <c r="S978" s="10" t="s">
        <v>123</v>
      </c>
      <c r="T978" s="10"/>
      <c r="U978" s="10" t="s">
        <v>2036</v>
      </c>
      <c r="V978" s="10" t="s">
        <v>2042</v>
      </c>
      <c r="W978" s="10" t="s">
        <v>91</v>
      </c>
      <c r="X978" s="10" t="s">
        <v>126</v>
      </c>
      <c r="Y978" s="10" t="s">
        <v>190</v>
      </c>
      <c r="Z978" s="10" t="s">
        <v>191</v>
      </c>
      <c r="AA978" s="10" t="s">
        <v>192</v>
      </c>
      <c r="AB978" s="10" t="s">
        <v>227</v>
      </c>
      <c r="AC978" s="10" t="s">
        <v>228</v>
      </c>
      <c r="AD978" s="10" t="s">
        <v>132</v>
      </c>
      <c r="AE978" s="10" t="s">
        <v>133</v>
      </c>
      <c r="AF978" s="10" t="s">
        <v>100</v>
      </c>
      <c r="AG978" s="10" t="s">
        <v>102</v>
      </c>
      <c r="AH978" s="10" t="s">
        <v>102</v>
      </c>
      <c r="AI978" s="10" t="s">
        <v>134</v>
      </c>
      <c r="AJ978" s="10" t="s">
        <v>135</v>
      </c>
      <c r="AK978" s="10"/>
      <c r="AL978" s="10"/>
      <c r="AM978" s="10" t="s">
        <v>136</v>
      </c>
      <c r="AN978" s="10" t="s">
        <v>242</v>
      </c>
      <c r="AO978" s="10"/>
      <c r="AP978" s="10"/>
      <c r="AQ978" s="10"/>
      <c r="AR978" s="10"/>
      <c r="AS978" s="10"/>
      <c r="AT978" s="10"/>
      <c r="AU978" s="10">
        <f>(9.9+13.2)/2</f>
        <v>11.55</v>
      </c>
      <c r="AV978" s="10"/>
      <c r="AW978" s="10" t="s">
        <v>108</v>
      </c>
      <c r="AX978" s="10">
        <v>14</v>
      </c>
      <c r="AY978" s="10" t="s">
        <v>103</v>
      </c>
      <c r="AZ978" s="10" t="s">
        <v>109</v>
      </c>
      <c r="BA978" s="10" t="s">
        <v>138</v>
      </c>
      <c r="BB978" s="10">
        <v>10</v>
      </c>
      <c r="BC978" s="10">
        <v>14</v>
      </c>
      <c r="BD978" s="10"/>
      <c r="BE978" s="10" t="s">
        <v>139</v>
      </c>
      <c r="BF978" s="10">
        <v>30</v>
      </c>
      <c r="BG978" s="10">
        <v>0.3</v>
      </c>
      <c r="BH978" s="10"/>
      <c r="BI978" s="10"/>
      <c r="BJ978" s="10"/>
      <c r="BK978" s="10"/>
      <c r="BL978" s="10"/>
      <c r="BM978" s="10"/>
      <c r="BN978" s="10"/>
      <c r="BO978" s="10">
        <v>7.8</v>
      </c>
      <c r="BP978" s="10"/>
      <c r="BQ978" s="10"/>
      <c r="BR978" s="10" t="s">
        <v>69</v>
      </c>
      <c r="BS978" s="10"/>
      <c r="BT978" s="10"/>
      <c r="BU978" s="10" t="s">
        <v>2044</v>
      </c>
      <c r="BV978">
        <v>27.6</v>
      </c>
      <c r="BW978">
        <v>0.56665686299999996</v>
      </c>
      <c r="BX978">
        <v>19</v>
      </c>
      <c r="BY978">
        <v>28.6</v>
      </c>
      <c r="BZ978">
        <v>0.59396969600000005</v>
      </c>
      <c r="CA978">
        <v>18</v>
      </c>
      <c r="CB978" t="s">
        <v>113</v>
      </c>
      <c r="CC978" t="s">
        <v>770</v>
      </c>
    </row>
    <row r="979" spans="1:81" x14ac:dyDescent="0.25">
      <c r="A979" s="10" t="s">
        <v>2023</v>
      </c>
      <c r="B979">
        <v>978</v>
      </c>
      <c r="C979" s="10">
        <v>72</v>
      </c>
      <c r="D979" s="10">
        <v>10</v>
      </c>
      <c r="E979" s="10">
        <v>216</v>
      </c>
      <c r="F979" s="10">
        <v>234</v>
      </c>
      <c r="G979" s="10">
        <v>551</v>
      </c>
      <c r="H979" s="10">
        <v>850</v>
      </c>
      <c r="I979" s="10" t="s">
        <v>2033</v>
      </c>
      <c r="J979" s="10" t="s">
        <v>211</v>
      </c>
      <c r="K979" s="10"/>
      <c r="L979" s="10"/>
      <c r="M979" s="10" t="s">
        <v>85</v>
      </c>
      <c r="N979" s="10"/>
      <c r="O979" s="10" t="s">
        <v>14</v>
      </c>
      <c r="P979" s="10" t="s">
        <v>2041</v>
      </c>
      <c r="Q979" s="10" t="s">
        <v>2035</v>
      </c>
      <c r="R979" s="10">
        <v>2000</v>
      </c>
      <c r="S979" s="10" t="s">
        <v>123</v>
      </c>
      <c r="T979" s="10"/>
      <c r="U979" s="10" t="s">
        <v>2036</v>
      </c>
      <c r="V979" s="10" t="s">
        <v>2042</v>
      </c>
      <c r="W979" s="10" t="s">
        <v>91</v>
      </c>
      <c r="X979" s="10" t="s">
        <v>126</v>
      </c>
      <c r="Y979" s="10" t="s">
        <v>190</v>
      </c>
      <c r="Z979" s="10" t="s">
        <v>191</v>
      </c>
      <c r="AA979" s="10" t="s">
        <v>192</v>
      </c>
      <c r="AB979" s="10" t="s">
        <v>227</v>
      </c>
      <c r="AC979" s="10" t="s">
        <v>228</v>
      </c>
      <c r="AD979" s="10" t="s">
        <v>132</v>
      </c>
      <c r="AE979" s="10" t="s">
        <v>133</v>
      </c>
      <c r="AF979" s="10" t="s">
        <v>100</v>
      </c>
      <c r="AG979" s="10" t="s">
        <v>102</v>
      </c>
      <c r="AH979" s="10" t="s">
        <v>102</v>
      </c>
      <c r="AI979" s="10" t="s">
        <v>134</v>
      </c>
      <c r="AJ979" s="10" t="s">
        <v>135</v>
      </c>
      <c r="AK979" s="10"/>
      <c r="AL979" s="10"/>
      <c r="AM979" s="10" t="s">
        <v>136</v>
      </c>
      <c r="AN979" s="10" t="s">
        <v>242</v>
      </c>
      <c r="AO979" s="10"/>
      <c r="AP979" s="10"/>
      <c r="AQ979" s="10"/>
      <c r="AR979" s="10"/>
      <c r="AS979" s="10"/>
      <c r="AT979" s="10"/>
      <c r="AU979" s="10">
        <f>(13.2+12.8)/2</f>
        <v>13</v>
      </c>
      <c r="AV979" s="10"/>
      <c r="AW979" s="10" t="s">
        <v>108</v>
      </c>
      <c r="AX979" s="10">
        <v>14</v>
      </c>
      <c r="AY979" s="10" t="s">
        <v>103</v>
      </c>
      <c r="AZ979" s="10" t="s">
        <v>109</v>
      </c>
      <c r="BA979" s="10" t="s">
        <v>138</v>
      </c>
      <c r="BB979" s="10">
        <v>14</v>
      </c>
      <c r="BC979" s="10">
        <v>19</v>
      </c>
      <c r="BD979" s="10"/>
      <c r="BE979" s="10" t="s">
        <v>139</v>
      </c>
      <c r="BF979" s="10">
        <v>30</v>
      </c>
      <c r="BG979" s="10">
        <v>0.3</v>
      </c>
      <c r="BH979" s="10"/>
      <c r="BI979" s="10"/>
      <c r="BJ979" s="10"/>
      <c r="BK979" s="10"/>
      <c r="BL979" s="10"/>
      <c r="BM979" s="10"/>
      <c r="BN979" s="10"/>
      <c r="BO979" s="10">
        <v>7.8</v>
      </c>
      <c r="BP979" s="10"/>
      <c r="BQ979" s="10"/>
      <c r="BR979" s="10" t="s">
        <v>69</v>
      </c>
      <c r="BS979" s="10"/>
      <c r="BT979" s="10"/>
      <c r="BU979" s="10" t="s">
        <v>2044</v>
      </c>
      <c r="BV979">
        <v>28.6</v>
      </c>
      <c r="BW979">
        <v>0.59396969600000005</v>
      </c>
      <c r="BX979">
        <v>18</v>
      </c>
      <c r="BY979">
        <v>29.6</v>
      </c>
      <c r="BZ979">
        <v>2.418305192</v>
      </c>
      <c r="CA979">
        <v>18</v>
      </c>
      <c r="CB979" t="s">
        <v>113</v>
      </c>
      <c r="CC979" t="s">
        <v>770</v>
      </c>
    </row>
    <row r="980" spans="1:81" x14ac:dyDescent="0.25">
      <c r="A980" s="10" t="s">
        <v>2023</v>
      </c>
      <c r="B980">
        <v>979</v>
      </c>
      <c r="C980" s="10">
        <v>72</v>
      </c>
      <c r="D980" s="10">
        <v>10</v>
      </c>
      <c r="E980" s="10">
        <v>217</v>
      </c>
      <c r="F980" s="10">
        <v>235</v>
      </c>
      <c r="G980" s="10">
        <v>552</v>
      </c>
      <c r="H980" s="10">
        <v>851</v>
      </c>
      <c r="I980" s="10" t="s">
        <v>2033</v>
      </c>
      <c r="J980" s="10" t="s">
        <v>211</v>
      </c>
      <c r="K980" s="10"/>
      <c r="L980" s="10"/>
      <c r="M980" s="10" t="s">
        <v>85</v>
      </c>
      <c r="N980" s="10"/>
      <c r="O980" s="10" t="s">
        <v>14</v>
      </c>
      <c r="P980" s="10" t="s">
        <v>2041</v>
      </c>
      <c r="Q980" s="10" t="s">
        <v>2035</v>
      </c>
      <c r="R980" s="10">
        <v>2000</v>
      </c>
      <c r="S980" s="10" t="s">
        <v>123</v>
      </c>
      <c r="T980" s="10"/>
      <c r="U980" s="10" t="s">
        <v>2036</v>
      </c>
      <c r="V980" s="10" t="s">
        <v>2042</v>
      </c>
      <c r="W980" s="10" t="s">
        <v>91</v>
      </c>
      <c r="X980" s="10" t="s">
        <v>126</v>
      </c>
      <c r="Y980" s="10" t="s">
        <v>190</v>
      </c>
      <c r="Z980" s="10" t="s">
        <v>191</v>
      </c>
      <c r="AA980" s="10" t="s">
        <v>192</v>
      </c>
      <c r="AB980" s="10" t="s">
        <v>227</v>
      </c>
      <c r="AC980" s="10" t="s">
        <v>228</v>
      </c>
      <c r="AD980" s="10" t="s">
        <v>132</v>
      </c>
      <c r="AE980" s="10" t="s">
        <v>133</v>
      </c>
      <c r="AF980" s="10" t="s">
        <v>100</v>
      </c>
      <c r="AG980" s="10" t="s">
        <v>102</v>
      </c>
      <c r="AH980" s="10" t="s">
        <v>102</v>
      </c>
      <c r="AI980" s="10" t="s">
        <v>134</v>
      </c>
      <c r="AJ980" s="10" t="s">
        <v>135</v>
      </c>
      <c r="AK980" s="10"/>
      <c r="AL980" s="10"/>
      <c r="AM980" s="10" t="s">
        <v>136</v>
      </c>
      <c r="AN980" s="10" t="s">
        <v>242</v>
      </c>
      <c r="AO980" s="10"/>
      <c r="AP980" s="10"/>
      <c r="AQ980" s="10"/>
      <c r="AR980" s="10"/>
      <c r="AS980" s="10"/>
      <c r="AT980" s="10"/>
      <c r="AU980" s="10">
        <f>(15.7+14.5)/2</f>
        <v>15.1</v>
      </c>
      <c r="AV980" s="10"/>
      <c r="AW980" s="10" t="s">
        <v>108</v>
      </c>
      <c r="AX980" s="10">
        <v>14</v>
      </c>
      <c r="AY980" s="10" t="s">
        <v>103</v>
      </c>
      <c r="AZ980" s="10" t="s">
        <v>109</v>
      </c>
      <c r="BA980" s="10" t="s">
        <v>138</v>
      </c>
      <c r="BB980" s="10">
        <v>10</v>
      </c>
      <c r="BC980" s="10">
        <v>14</v>
      </c>
      <c r="BD980" s="10"/>
      <c r="BE980" s="10" t="s">
        <v>139</v>
      </c>
      <c r="BF980" s="10">
        <v>30</v>
      </c>
      <c r="BG980" s="10">
        <v>0.3</v>
      </c>
      <c r="BH980" s="10"/>
      <c r="BI980" s="10"/>
      <c r="BJ980" s="10"/>
      <c r="BK980" s="10"/>
      <c r="BL980" s="10"/>
      <c r="BM980" s="10"/>
      <c r="BN980" s="10"/>
      <c r="BO980" s="10">
        <v>7.8</v>
      </c>
      <c r="BP980" s="10"/>
      <c r="BQ980" s="10"/>
      <c r="BR980" s="10" t="s">
        <v>69</v>
      </c>
      <c r="BS980" s="10"/>
      <c r="BT980" s="10"/>
      <c r="BU980" s="10" t="s">
        <v>2045</v>
      </c>
      <c r="BV980">
        <v>27.7</v>
      </c>
      <c r="BW980">
        <v>0.49193495500000001</v>
      </c>
      <c r="BX980">
        <v>20</v>
      </c>
      <c r="BY980">
        <v>28.4</v>
      </c>
      <c r="BZ980">
        <v>0.68</v>
      </c>
      <c r="CA980">
        <v>16</v>
      </c>
      <c r="CB980" t="s">
        <v>113</v>
      </c>
      <c r="CC980" t="s">
        <v>770</v>
      </c>
    </row>
    <row r="981" spans="1:81" x14ac:dyDescent="0.25">
      <c r="A981" s="10" t="s">
        <v>2023</v>
      </c>
      <c r="B981">
        <v>980</v>
      </c>
      <c r="C981" s="10">
        <v>72</v>
      </c>
      <c r="D981" s="10">
        <v>10</v>
      </c>
      <c r="E981" s="10">
        <v>217</v>
      </c>
      <c r="F981" s="10">
        <v>235</v>
      </c>
      <c r="G981" s="10">
        <v>552</v>
      </c>
      <c r="H981" s="10">
        <v>852</v>
      </c>
      <c r="I981" s="10" t="s">
        <v>2033</v>
      </c>
      <c r="J981" s="10" t="s">
        <v>211</v>
      </c>
      <c r="K981" s="10"/>
      <c r="L981" s="10"/>
      <c r="M981" s="10" t="s">
        <v>85</v>
      </c>
      <c r="N981" s="10"/>
      <c r="O981" s="10" t="s">
        <v>14</v>
      </c>
      <c r="P981" s="10" t="s">
        <v>2041</v>
      </c>
      <c r="Q981" s="10" t="s">
        <v>2035</v>
      </c>
      <c r="R981" s="10">
        <v>2000</v>
      </c>
      <c r="S981" s="10" t="s">
        <v>123</v>
      </c>
      <c r="T981" s="10"/>
      <c r="U981" s="10" t="s">
        <v>2036</v>
      </c>
      <c r="V981" s="10" t="s">
        <v>2042</v>
      </c>
      <c r="W981" s="10" t="s">
        <v>91</v>
      </c>
      <c r="X981" s="10" t="s">
        <v>126</v>
      </c>
      <c r="Y981" s="10" t="s">
        <v>190</v>
      </c>
      <c r="Z981" s="10" t="s">
        <v>191</v>
      </c>
      <c r="AA981" s="10" t="s">
        <v>192</v>
      </c>
      <c r="AB981" s="10" t="s">
        <v>227</v>
      </c>
      <c r="AC981" s="10" t="s">
        <v>228</v>
      </c>
      <c r="AD981" s="10" t="s">
        <v>132</v>
      </c>
      <c r="AE981" s="10" t="s">
        <v>133</v>
      </c>
      <c r="AF981" s="10" t="s">
        <v>100</v>
      </c>
      <c r="AG981" s="10" t="s">
        <v>102</v>
      </c>
      <c r="AH981" s="10" t="s">
        <v>102</v>
      </c>
      <c r="AI981" s="10" t="s">
        <v>134</v>
      </c>
      <c r="AJ981" s="10" t="s">
        <v>135</v>
      </c>
      <c r="AK981" s="10"/>
      <c r="AL981" s="10"/>
      <c r="AM981" s="10" t="s">
        <v>136</v>
      </c>
      <c r="AN981" s="10" t="s">
        <v>242</v>
      </c>
      <c r="AO981" s="10"/>
      <c r="AP981" s="10"/>
      <c r="AQ981" s="10"/>
      <c r="AR981" s="10"/>
      <c r="AS981" s="10"/>
      <c r="AT981" s="10"/>
      <c r="AU981" s="10">
        <f>(14.5+12.7)/2</f>
        <v>13.6</v>
      </c>
      <c r="AV981" s="10"/>
      <c r="AW981" s="10" t="s">
        <v>108</v>
      </c>
      <c r="AX981" s="10">
        <v>14</v>
      </c>
      <c r="AY981" s="10" t="s">
        <v>103</v>
      </c>
      <c r="AZ981" s="10" t="s">
        <v>109</v>
      </c>
      <c r="BA981" s="10" t="s">
        <v>138</v>
      </c>
      <c r="BB981" s="10">
        <v>14</v>
      </c>
      <c r="BC981" s="10">
        <v>19</v>
      </c>
      <c r="BD981" s="10"/>
      <c r="BE981" s="10" t="s">
        <v>139</v>
      </c>
      <c r="BF981" s="10">
        <v>30</v>
      </c>
      <c r="BG981" s="10">
        <v>0.3</v>
      </c>
      <c r="BH981" s="10"/>
      <c r="BI981" s="10"/>
      <c r="BJ981" s="10"/>
      <c r="BK981" s="10"/>
      <c r="BL981" s="10"/>
      <c r="BM981" s="10"/>
      <c r="BN981" s="10"/>
      <c r="BO981" s="10">
        <v>7.8</v>
      </c>
      <c r="BP981" s="10"/>
      <c r="BQ981" s="10"/>
      <c r="BR981" s="10" t="s">
        <v>69</v>
      </c>
      <c r="BS981" s="10"/>
      <c r="BT981" s="10"/>
      <c r="BU981" s="10" t="s">
        <v>2045</v>
      </c>
      <c r="BV981">
        <v>28.4</v>
      </c>
      <c r="BW981">
        <v>0.68</v>
      </c>
      <c r="BX981">
        <v>16</v>
      </c>
      <c r="BY981">
        <v>29.3</v>
      </c>
      <c r="BZ981">
        <v>1.145643924</v>
      </c>
      <c r="CA981">
        <v>21</v>
      </c>
      <c r="CB981" t="s">
        <v>113</v>
      </c>
      <c r="CC981" t="s">
        <v>770</v>
      </c>
    </row>
    <row r="982" spans="1:81" x14ac:dyDescent="0.25">
      <c r="A982" s="10" t="s">
        <v>2046</v>
      </c>
      <c r="B982">
        <v>981</v>
      </c>
      <c r="C982" s="10">
        <v>74</v>
      </c>
      <c r="D982" s="10">
        <v>67</v>
      </c>
      <c r="E982" s="10">
        <v>218</v>
      </c>
      <c r="F982" s="10">
        <v>236</v>
      </c>
      <c r="G982" s="10">
        <v>553</v>
      </c>
      <c r="H982" s="10">
        <v>853</v>
      </c>
      <c r="I982" s="10" t="s">
        <v>118</v>
      </c>
      <c r="J982" s="10" t="s">
        <v>691</v>
      </c>
      <c r="K982" s="10"/>
      <c r="L982" s="10"/>
      <c r="M982" s="10" t="s">
        <v>85</v>
      </c>
      <c r="N982" s="10"/>
      <c r="O982" s="10" t="s">
        <v>14</v>
      </c>
      <c r="P982" s="10" t="s">
        <v>2047</v>
      </c>
      <c r="Q982" s="10" t="s">
        <v>2048</v>
      </c>
      <c r="R982" s="10">
        <v>2013</v>
      </c>
      <c r="S982" s="10" t="s">
        <v>146</v>
      </c>
      <c r="T982" s="10"/>
      <c r="U982" s="10" t="s">
        <v>2049</v>
      </c>
      <c r="V982" s="10" t="s">
        <v>2050</v>
      </c>
      <c r="W982" s="10" t="s">
        <v>1380</v>
      </c>
      <c r="X982" s="10" t="s">
        <v>1585</v>
      </c>
      <c r="Y982" s="10" t="s">
        <v>1760</v>
      </c>
      <c r="Z982" s="10" t="s">
        <v>2051</v>
      </c>
      <c r="AA982" s="10" t="s">
        <v>2052</v>
      </c>
      <c r="AB982" s="10" t="s">
        <v>2053</v>
      </c>
      <c r="AC982" s="10" t="s">
        <v>2054</v>
      </c>
      <c r="AD982" s="10" t="s">
        <v>132</v>
      </c>
      <c r="AE982" s="10" t="s">
        <v>316</v>
      </c>
      <c r="AF982" s="10" t="s">
        <v>100</v>
      </c>
      <c r="AG982" s="10" t="s">
        <v>102</v>
      </c>
      <c r="AH982" s="10" t="s">
        <v>102</v>
      </c>
      <c r="AI982" s="10" t="s">
        <v>2055</v>
      </c>
      <c r="AJ982" s="10" t="s">
        <v>2056</v>
      </c>
      <c r="AK982" s="10"/>
      <c r="AL982" s="10"/>
      <c r="AM982" s="10" t="s">
        <v>136</v>
      </c>
      <c r="AN982" s="10" t="s">
        <v>106</v>
      </c>
      <c r="AO982" s="10"/>
      <c r="AP982" s="10"/>
      <c r="AQ982" s="10"/>
      <c r="AR982" s="10"/>
      <c r="AS982" s="10"/>
      <c r="AT982" s="10"/>
      <c r="AU982" s="10"/>
      <c r="AV982" s="10">
        <v>50</v>
      </c>
      <c r="AW982" s="10" t="s">
        <v>108</v>
      </c>
      <c r="AX982" s="10">
        <v>25</v>
      </c>
      <c r="AY982" s="10" t="s">
        <v>2057</v>
      </c>
      <c r="AZ982" s="10" t="s">
        <v>109</v>
      </c>
      <c r="BA982" s="10" t="s">
        <v>2058</v>
      </c>
      <c r="BB982" s="10">
        <v>18</v>
      </c>
      <c r="BC982" s="10">
        <v>22</v>
      </c>
      <c r="BD982" s="10">
        <v>1</v>
      </c>
      <c r="BE982" s="10" t="s">
        <v>111</v>
      </c>
      <c r="BF982" s="10">
        <v>20</v>
      </c>
      <c r="BG982" s="10">
        <v>1</v>
      </c>
      <c r="BH982" s="10"/>
      <c r="BI982" s="10"/>
      <c r="BJ982" s="10"/>
      <c r="BK982" s="10"/>
      <c r="BL982" s="10"/>
      <c r="BM982" s="10">
        <v>6.7</v>
      </c>
      <c r="BN982" s="10">
        <v>35</v>
      </c>
      <c r="BO982" s="10"/>
      <c r="BP982" s="10"/>
      <c r="BQ982" s="10"/>
      <c r="BR982" s="10"/>
      <c r="BS982" s="10"/>
      <c r="BT982" s="10"/>
      <c r="BU982" s="10" t="s">
        <v>2059</v>
      </c>
      <c r="BV982">
        <v>31.8</v>
      </c>
      <c r="BW982">
        <v>3.4633801530000001</v>
      </c>
      <c r="BX982">
        <v>32</v>
      </c>
      <c r="BY982">
        <v>32.700000000000003</v>
      </c>
      <c r="BZ982">
        <v>2.5975351149999999</v>
      </c>
      <c r="CA982">
        <v>32</v>
      </c>
      <c r="CB982" t="s">
        <v>113</v>
      </c>
      <c r="CC982" t="s">
        <v>2060</v>
      </c>
    </row>
    <row r="983" spans="1:81" x14ac:dyDescent="0.25">
      <c r="A983" s="10" t="s">
        <v>2046</v>
      </c>
      <c r="B983">
        <v>982</v>
      </c>
      <c r="C983" s="10">
        <v>74</v>
      </c>
      <c r="D983" s="10">
        <v>67</v>
      </c>
      <c r="E983" s="10">
        <v>218</v>
      </c>
      <c r="F983" s="10">
        <v>236</v>
      </c>
      <c r="G983" s="10">
        <v>553</v>
      </c>
      <c r="H983" s="10">
        <v>854</v>
      </c>
      <c r="I983" s="10" t="s">
        <v>118</v>
      </c>
      <c r="J983" s="10" t="s">
        <v>691</v>
      </c>
      <c r="K983" s="10"/>
      <c r="L983" s="10"/>
      <c r="M983" s="10" t="s">
        <v>85</v>
      </c>
      <c r="N983" s="10"/>
      <c r="O983" s="10" t="s">
        <v>14</v>
      </c>
      <c r="P983" s="10" t="s">
        <v>2047</v>
      </c>
      <c r="Q983" s="10" t="s">
        <v>2048</v>
      </c>
      <c r="R983" s="10">
        <v>2013</v>
      </c>
      <c r="S983" s="10" t="s">
        <v>146</v>
      </c>
      <c r="T983" s="10"/>
      <c r="U983" s="10" t="s">
        <v>2049</v>
      </c>
      <c r="V983" s="10" t="s">
        <v>2050</v>
      </c>
      <c r="W983" s="10" t="s">
        <v>1380</v>
      </c>
      <c r="X983" s="10" t="s">
        <v>1585</v>
      </c>
      <c r="Y983" s="10" t="s">
        <v>1760</v>
      </c>
      <c r="Z983" s="10" t="s">
        <v>2051</v>
      </c>
      <c r="AA983" s="10" t="s">
        <v>2052</v>
      </c>
      <c r="AB983" s="10" t="s">
        <v>2053</v>
      </c>
      <c r="AC983" s="10" t="s">
        <v>2054</v>
      </c>
      <c r="AD983" s="10" t="s">
        <v>132</v>
      </c>
      <c r="AE983" s="10" t="s">
        <v>316</v>
      </c>
      <c r="AF983" s="10" t="s">
        <v>100</v>
      </c>
      <c r="AG983" s="10" t="s">
        <v>102</v>
      </c>
      <c r="AH983" s="10" t="s">
        <v>102</v>
      </c>
      <c r="AI983" s="10" t="s">
        <v>134</v>
      </c>
      <c r="AJ983" s="10" t="s">
        <v>2056</v>
      </c>
      <c r="AK983" s="10"/>
      <c r="AL983" s="10"/>
      <c r="AM983" s="10" t="s">
        <v>136</v>
      </c>
      <c r="AN983" s="10" t="s">
        <v>106</v>
      </c>
      <c r="AO983" s="10"/>
      <c r="AP983" s="10"/>
      <c r="AQ983" s="10"/>
      <c r="AR983" s="10"/>
      <c r="AS983" s="10"/>
      <c r="AT983" s="10"/>
      <c r="AU983" s="10"/>
      <c r="AV983" s="10">
        <v>50</v>
      </c>
      <c r="AW983" s="10" t="s">
        <v>108</v>
      </c>
      <c r="AX983" s="10">
        <v>25</v>
      </c>
      <c r="AY983" s="10" t="s">
        <v>2057</v>
      </c>
      <c r="AZ983" s="10" t="s">
        <v>109</v>
      </c>
      <c r="BA983" s="10" t="s">
        <v>2058</v>
      </c>
      <c r="BB983" s="10">
        <v>22</v>
      </c>
      <c r="BC983" s="10">
        <v>26</v>
      </c>
      <c r="BD983" s="10">
        <v>1</v>
      </c>
      <c r="BE983" s="10" t="s">
        <v>111</v>
      </c>
      <c r="BF983" s="10">
        <v>20</v>
      </c>
      <c r="BG983" s="10">
        <v>1</v>
      </c>
      <c r="BH983" s="10"/>
      <c r="BI983" s="10"/>
      <c r="BJ983" s="10"/>
      <c r="BK983" s="10"/>
      <c r="BL983" s="10"/>
      <c r="BM983" s="10">
        <v>6.7</v>
      </c>
      <c r="BN983" s="10">
        <v>35</v>
      </c>
      <c r="BO983" s="10"/>
      <c r="BP983" s="10"/>
      <c r="BQ983" s="10"/>
      <c r="BR983" s="10"/>
      <c r="BS983" s="10"/>
      <c r="BT983" s="10"/>
      <c r="BU983" s="10" t="s">
        <v>2059</v>
      </c>
      <c r="BV983">
        <v>32.700000000000003</v>
      </c>
      <c r="BW983">
        <v>2.5975351149999999</v>
      </c>
      <c r="BX983">
        <v>32</v>
      </c>
      <c r="BY983">
        <v>34.799999999999997</v>
      </c>
      <c r="BZ983">
        <v>0.57723002499999998</v>
      </c>
      <c r="CA983">
        <v>32</v>
      </c>
      <c r="CB983" t="s">
        <v>113</v>
      </c>
      <c r="CC983" t="s">
        <v>2060</v>
      </c>
    </row>
    <row r="984" spans="1:81" x14ac:dyDescent="0.25">
      <c r="A984" s="10" t="s">
        <v>2046</v>
      </c>
      <c r="B984">
        <v>983</v>
      </c>
      <c r="C984" s="10">
        <v>74</v>
      </c>
      <c r="D984" s="10">
        <v>67</v>
      </c>
      <c r="E984" s="10">
        <v>218</v>
      </c>
      <c r="F984" s="10">
        <v>236</v>
      </c>
      <c r="G984" s="10">
        <v>553</v>
      </c>
      <c r="H984" s="10">
        <v>855</v>
      </c>
      <c r="I984" s="10" t="s">
        <v>118</v>
      </c>
      <c r="J984" s="10" t="s">
        <v>691</v>
      </c>
      <c r="K984" s="10"/>
      <c r="L984" s="10"/>
      <c r="M984" s="10" t="s">
        <v>85</v>
      </c>
      <c r="N984" s="10"/>
      <c r="O984" s="10" t="s">
        <v>14</v>
      </c>
      <c r="P984" s="10" t="s">
        <v>2047</v>
      </c>
      <c r="Q984" s="10" t="s">
        <v>2048</v>
      </c>
      <c r="R984" s="10">
        <v>2013</v>
      </c>
      <c r="S984" s="10" t="s">
        <v>146</v>
      </c>
      <c r="T984" s="10"/>
      <c r="U984" s="10" t="s">
        <v>2049</v>
      </c>
      <c r="V984" s="10" t="s">
        <v>2050</v>
      </c>
      <c r="W984" s="10" t="s">
        <v>1380</v>
      </c>
      <c r="X984" s="10" t="s">
        <v>1585</v>
      </c>
      <c r="Y984" s="10" t="s">
        <v>1760</v>
      </c>
      <c r="Z984" s="10" t="s">
        <v>2051</v>
      </c>
      <c r="AA984" s="10" t="s">
        <v>2052</v>
      </c>
      <c r="AB984" s="10" t="s">
        <v>2053</v>
      </c>
      <c r="AC984" s="10" t="s">
        <v>2054</v>
      </c>
      <c r="AD984" s="10" t="s">
        <v>132</v>
      </c>
      <c r="AE984" s="10" t="s">
        <v>316</v>
      </c>
      <c r="AF984" s="10" t="s">
        <v>100</v>
      </c>
      <c r="AG984" s="10" t="s">
        <v>102</v>
      </c>
      <c r="AH984" s="10" t="s">
        <v>102</v>
      </c>
      <c r="AI984" s="10" t="s">
        <v>134</v>
      </c>
      <c r="AJ984" s="10" t="s">
        <v>2056</v>
      </c>
      <c r="AK984" s="10"/>
      <c r="AL984" s="10"/>
      <c r="AM984" s="10" t="s">
        <v>136</v>
      </c>
      <c r="AN984" s="10" t="s">
        <v>106</v>
      </c>
      <c r="AO984" s="10"/>
      <c r="AP984" s="10"/>
      <c r="AQ984" s="10"/>
      <c r="AR984" s="10"/>
      <c r="AS984" s="10"/>
      <c r="AT984" s="10"/>
      <c r="AU984" s="10"/>
      <c r="AV984" s="10">
        <v>50</v>
      </c>
      <c r="AW984" s="10" t="s">
        <v>108</v>
      </c>
      <c r="AX984" s="10">
        <v>25</v>
      </c>
      <c r="AY984" s="10" t="s">
        <v>2057</v>
      </c>
      <c r="AZ984" s="10" t="s">
        <v>109</v>
      </c>
      <c r="BA984" s="10" t="s">
        <v>2058</v>
      </c>
      <c r="BB984" s="10">
        <v>26</v>
      </c>
      <c r="BC984" s="10">
        <v>30</v>
      </c>
      <c r="BD984" s="10">
        <v>1</v>
      </c>
      <c r="BE984" s="10" t="s">
        <v>111</v>
      </c>
      <c r="BF984" s="10">
        <v>20</v>
      </c>
      <c r="BG984" s="10">
        <v>1</v>
      </c>
      <c r="BH984" s="10"/>
      <c r="BI984" s="10"/>
      <c r="BJ984" s="10"/>
      <c r="BK984" s="10"/>
      <c r="BL984" s="10"/>
      <c r="BM984" s="10">
        <v>6.7</v>
      </c>
      <c r="BN984" s="10">
        <v>35</v>
      </c>
      <c r="BO984" s="10"/>
      <c r="BP984" s="10"/>
      <c r="BQ984" s="10"/>
      <c r="BR984" s="10"/>
      <c r="BS984" s="10"/>
      <c r="BT984" s="10"/>
      <c r="BU984" s="10" t="s">
        <v>2059</v>
      </c>
      <c r="BV984">
        <v>34.799999999999997</v>
      </c>
      <c r="BW984">
        <v>0.57723002499999998</v>
      </c>
      <c r="BX984">
        <v>32</v>
      </c>
      <c r="BY984">
        <v>36.5</v>
      </c>
      <c r="BZ984">
        <v>2.8861501270000001</v>
      </c>
      <c r="CA984">
        <v>32</v>
      </c>
      <c r="CB984" t="s">
        <v>113</v>
      </c>
      <c r="CC984" t="s">
        <v>2060</v>
      </c>
    </row>
    <row r="985" spans="1:81" x14ac:dyDescent="0.25">
      <c r="A985" s="10" t="s">
        <v>2046</v>
      </c>
      <c r="B985">
        <v>984</v>
      </c>
      <c r="C985" s="10">
        <v>76</v>
      </c>
      <c r="D985" s="10">
        <v>69</v>
      </c>
      <c r="E985" s="10">
        <v>219</v>
      </c>
      <c r="F985" s="10">
        <v>237</v>
      </c>
      <c r="G985" s="10">
        <v>554</v>
      </c>
      <c r="H985" s="10">
        <v>856</v>
      </c>
      <c r="I985" s="10"/>
      <c r="J985" s="10" t="s">
        <v>691</v>
      </c>
      <c r="K985" s="10"/>
      <c r="L985" s="10"/>
      <c r="M985" s="10" t="s">
        <v>85</v>
      </c>
      <c r="N985" s="10"/>
      <c r="O985" s="10" t="s">
        <v>14</v>
      </c>
      <c r="P985" s="10" t="s">
        <v>2061</v>
      </c>
      <c r="Q985" s="10" t="s">
        <v>2062</v>
      </c>
      <c r="R985" s="10">
        <v>2020</v>
      </c>
      <c r="S985" s="10" t="s">
        <v>2063</v>
      </c>
      <c r="T985" s="10"/>
      <c r="U985" s="10" t="s">
        <v>2064</v>
      </c>
      <c r="V985" s="10" t="s">
        <v>2065</v>
      </c>
      <c r="W985" s="10" t="s">
        <v>91</v>
      </c>
      <c r="X985" s="10" t="s">
        <v>508</v>
      </c>
      <c r="Y985" s="10" t="s">
        <v>2066</v>
      </c>
      <c r="Z985" s="10" t="s">
        <v>2067</v>
      </c>
      <c r="AA985" s="10" t="s">
        <v>2068</v>
      </c>
      <c r="AB985" s="10" t="s">
        <v>2069</v>
      </c>
      <c r="AC985" s="10" t="s">
        <v>2070</v>
      </c>
      <c r="AD985" s="10" t="s">
        <v>132</v>
      </c>
      <c r="AE985" s="10" t="s">
        <v>514</v>
      </c>
      <c r="AF985" s="10" t="s">
        <v>100</v>
      </c>
      <c r="AG985" s="10" t="s">
        <v>102</v>
      </c>
      <c r="AH985" s="10" t="s">
        <v>102</v>
      </c>
      <c r="AI985" s="10" t="s">
        <v>134</v>
      </c>
      <c r="AJ985" s="10" t="s">
        <v>2056</v>
      </c>
      <c r="AK985" s="10"/>
      <c r="AL985" s="10"/>
      <c r="AM985" s="10" t="s">
        <v>136</v>
      </c>
      <c r="AN985" s="10" t="s">
        <v>106</v>
      </c>
      <c r="AO985" s="10"/>
      <c r="AP985" s="10"/>
      <c r="AQ985" s="10"/>
      <c r="AR985" s="10"/>
      <c r="AS985" s="10"/>
      <c r="AT985" s="10"/>
      <c r="AU985" s="10">
        <v>4.375</v>
      </c>
      <c r="AV985" s="10"/>
      <c r="AW985" s="10" t="s">
        <v>108</v>
      </c>
      <c r="AX985" s="10">
        <v>20</v>
      </c>
      <c r="AY985" s="10" t="s">
        <v>2057</v>
      </c>
      <c r="AZ985" s="10" t="s">
        <v>109</v>
      </c>
      <c r="BA985" s="10" t="s">
        <v>2071</v>
      </c>
      <c r="BB985" s="10">
        <v>8.34</v>
      </c>
      <c r="BC985" s="10">
        <v>24.23</v>
      </c>
      <c r="BD985" s="10">
        <v>1.19</v>
      </c>
      <c r="BE985" s="10" t="s">
        <v>111</v>
      </c>
      <c r="BF985" s="10">
        <v>21</v>
      </c>
      <c r="BG985" s="10">
        <v>0.745</v>
      </c>
      <c r="BH985" s="10"/>
      <c r="BI985" s="10"/>
      <c r="BJ985" s="10"/>
      <c r="BK985" s="10"/>
      <c r="BL985" s="10"/>
      <c r="BM985" s="10"/>
      <c r="BN985" s="10"/>
      <c r="BO985" s="10"/>
      <c r="BP985" s="10">
        <v>12</v>
      </c>
      <c r="BQ985" s="10"/>
      <c r="BR985" s="10"/>
      <c r="BS985" s="10"/>
      <c r="BT985" s="10"/>
      <c r="BU985" s="10" t="s">
        <v>2072</v>
      </c>
      <c r="BV985">
        <v>33.1</v>
      </c>
      <c r="BW985">
        <v>0.63245553200000004</v>
      </c>
      <c r="BX985">
        <v>10</v>
      </c>
      <c r="BY985">
        <v>37.1</v>
      </c>
      <c r="BZ985">
        <v>0.56999999999999995</v>
      </c>
      <c r="CA985">
        <v>9</v>
      </c>
      <c r="CB985" t="s">
        <v>113</v>
      </c>
      <c r="CC985" t="s">
        <v>770</v>
      </c>
    </row>
    <row r="986" spans="1:81" x14ac:dyDescent="0.25">
      <c r="A986" s="10" t="s">
        <v>2046</v>
      </c>
      <c r="B986">
        <v>985</v>
      </c>
      <c r="C986" s="10">
        <v>79</v>
      </c>
      <c r="D986" s="10">
        <v>72</v>
      </c>
      <c r="E986" s="10">
        <v>220</v>
      </c>
      <c r="F986" s="10">
        <v>238</v>
      </c>
      <c r="G986" s="10">
        <v>555</v>
      </c>
      <c r="H986" s="10">
        <v>857</v>
      </c>
      <c r="I986" s="10" t="s">
        <v>2073</v>
      </c>
      <c r="J986" s="10" t="s">
        <v>691</v>
      </c>
      <c r="K986" s="10"/>
      <c r="L986" s="10"/>
      <c r="M986" s="10" t="s">
        <v>85</v>
      </c>
      <c r="N986" s="10"/>
      <c r="O986" s="10" t="s">
        <v>14</v>
      </c>
      <c r="P986" s="10" t="s">
        <v>2074</v>
      </c>
      <c r="Q986" s="10" t="s">
        <v>2075</v>
      </c>
      <c r="R986" s="10">
        <v>2003</v>
      </c>
      <c r="S986" s="10" t="s">
        <v>146</v>
      </c>
      <c r="T986" s="10"/>
      <c r="U986" s="10" t="s">
        <v>2076</v>
      </c>
      <c r="V986" s="10" t="s">
        <v>2077</v>
      </c>
      <c r="W986" s="10" t="s">
        <v>91</v>
      </c>
      <c r="X986" s="10" t="s">
        <v>126</v>
      </c>
      <c r="Y986" s="10" t="s">
        <v>793</v>
      </c>
      <c r="Z986" s="10" t="s">
        <v>794</v>
      </c>
      <c r="AA986" s="10" t="s">
        <v>2078</v>
      </c>
      <c r="AB986" s="10" t="s">
        <v>2079</v>
      </c>
      <c r="AC986" s="10" t="s">
        <v>2080</v>
      </c>
      <c r="AD986" s="10" t="s">
        <v>132</v>
      </c>
      <c r="AE986" s="10" t="s">
        <v>133</v>
      </c>
      <c r="AF986" s="10" t="s">
        <v>100</v>
      </c>
      <c r="AG986" s="10" t="s">
        <v>102</v>
      </c>
      <c r="AH986" s="10" t="s">
        <v>102</v>
      </c>
      <c r="AI986" s="10" t="s">
        <v>134</v>
      </c>
      <c r="AJ986" s="10" t="s">
        <v>2056</v>
      </c>
      <c r="AK986" s="10"/>
      <c r="AL986" s="10"/>
      <c r="AM986" s="10" t="s">
        <v>136</v>
      </c>
      <c r="AN986" s="10" t="s">
        <v>106</v>
      </c>
      <c r="AO986" s="10"/>
      <c r="AP986" s="10"/>
      <c r="AQ986" s="10"/>
      <c r="AR986" s="10"/>
      <c r="AS986" s="10"/>
      <c r="AT986" s="10"/>
      <c r="AU986" s="10">
        <f t="shared" ref="AU986:AU991" si="43">(0.9+1.9)/2</f>
        <v>1.4</v>
      </c>
      <c r="AV986" s="10"/>
      <c r="AW986" s="10" t="s">
        <v>108</v>
      </c>
      <c r="AX986" s="10">
        <v>28.5</v>
      </c>
      <c r="AY986" s="10" t="s">
        <v>2057</v>
      </c>
      <c r="AZ986" s="10" t="s">
        <v>109</v>
      </c>
      <c r="BA986" s="10" t="s">
        <v>2071</v>
      </c>
      <c r="BB986" s="10">
        <v>20</v>
      </c>
      <c r="BC986" s="10">
        <v>24</v>
      </c>
      <c r="BD986" s="10">
        <v>1</v>
      </c>
      <c r="BE986" s="10" t="s">
        <v>111</v>
      </c>
      <c r="BF986" s="10">
        <v>30</v>
      </c>
      <c r="BG986" s="10">
        <v>1</v>
      </c>
      <c r="BH986" s="10"/>
      <c r="BI986" s="10"/>
      <c r="BJ986" s="10"/>
      <c r="BK986" s="10"/>
      <c r="BL986" s="10"/>
      <c r="BM986" s="10">
        <v>6.5</v>
      </c>
      <c r="BN986" s="10"/>
      <c r="BO986" s="10">
        <v>8.1999999999999993</v>
      </c>
      <c r="BP986" s="10">
        <v>12</v>
      </c>
      <c r="BQ986" s="10"/>
      <c r="BR986" s="10"/>
      <c r="BS986" s="10"/>
      <c r="BT986" s="10"/>
      <c r="BU986" s="10" t="s">
        <v>2081</v>
      </c>
      <c r="BV986">
        <v>34</v>
      </c>
      <c r="BW986">
        <v>3.073953129</v>
      </c>
      <c r="BX986">
        <v>30</v>
      </c>
      <c r="BY986">
        <v>35.9</v>
      </c>
      <c r="BZ986">
        <v>1.1178011379999999</v>
      </c>
      <c r="CA986">
        <v>30</v>
      </c>
      <c r="CB986" t="s">
        <v>113</v>
      </c>
      <c r="CC986" t="s">
        <v>2082</v>
      </c>
    </row>
    <row r="987" spans="1:81" x14ac:dyDescent="0.25">
      <c r="A987" s="10" t="s">
        <v>2046</v>
      </c>
      <c r="B987">
        <v>986</v>
      </c>
      <c r="C987" s="10">
        <v>79</v>
      </c>
      <c r="D987" s="10">
        <v>72</v>
      </c>
      <c r="E987" s="10">
        <v>220</v>
      </c>
      <c r="F987" s="10">
        <v>238</v>
      </c>
      <c r="G987" s="10">
        <v>555</v>
      </c>
      <c r="H987" s="10">
        <v>858</v>
      </c>
      <c r="I987" s="10" t="s">
        <v>2073</v>
      </c>
      <c r="J987" s="10" t="s">
        <v>691</v>
      </c>
      <c r="K987" s="10"/>
      <c r="L987" s="10"/>
      <c r="M987" s="10" t="s">
        <v>85</v>
      </c>
      <c r="N987" s="10"/>
      <c r="O987" s="10" t="s">
        <v>14</v>
      </c>
      <c r="P987" s="10" t="s">
        <v>2083</v>
      </c>
      <c r="Q987" s="10" t="s">
        <v>2075</v>
      </c>
      <c r="R987" s="10">
        <v>2003</v>
      </c>
      <c r="S987" s="10" t="s">
        <v>146</v>
      </c>
      <c r="T987" s="10"/>
      <c r="U987" s="10" t="s">
        <v>2084</v>
      </c>
      <c r="V987" s="10" t="s">
        <v>2085</v>
      </c>
      <c r="W987" s="10" t="s">
        <v>91</v>
      </c>
      <c r="X987" s="10" t="s">
        <v>126</v>
      </c>
      <c r="Y987" s="10" t="s">
        <v>793</v>
      </c>
      <c r="Z987" s="10" t="s">
        <v>794</v>
      </c>
      <c r="AA987" s="10" t="s">
        <v>2078</v>
      </c>
      <c r="AB987" s="10" t="s">
        <v>2079</v>
      </c>
      <c r="AC987" s="10" t="s">
        <v>2080</v>
      </c>
      <c r="AD987" s="10" t="s">
        <v>132</v>
      </c>
      <c r="AE987" s="10" t="s">
        <v>133</v>
      </c>
      <c r="AF987" s="10" t="s">
        <v>100</v>
      </c>
      <c r="AG987" s="10" t="s">
        <v>102</v>
      </c>
      <c r="AH987" s="10" t="s">
        <v>102</v>
      </c>
      <c r="AI987" s="10" t="s">
        <v>134</v>
      </c>
      <c r="AJ987" s="10" t="s">
        <v>2056</v>
      </c>
      <c r="AK987" s="10"/>
      <c r="AL987" s="10"/>
      <c r="AM987" s="10" t="s">
        <v>136</v>
      </c>
      <c r="AN987" s="10" t="s">
        <v>106</v>
      </c>
      <c r="AO987" s="10"/>
      <c r="AP987" s="10"/>
      <c r="AQ987" s="10"/>
      <c r="AR987" s="10"/>
      <c r="AS987" s="10"/>
      <c r="AT987" s="10"/>
      <c r="AU987" s="10">
        <f t="shared" si="43"/>
        <v>1.4</v>
      </c>
      <c r="AV987" s="10"/>
      <c r="AW987" s="10" t="s">
        <v>108</v>
      </c>
      <c r="AX987" s="10">
        <v>28.5</v>
      </c>
      <c r="AY987" s="10" t="s">
        <v>2057</v>
      </c>
      <c r="AZ987" s="10" t="s">
        <v>109</v>
      </c>
      <c r="BA987" s="10" t="s">
        <v>2071</v>
      </c>
      <c r="BB987" s="10">
        <v>24</v>
      </c>
      <c r="BC987" s="10">
        <v>28</v>
      </c>
      <c r="BD987" s="10">
        <v>1</v>
      </c>
      <c r="BE987" s="10" t="s">
        <v>111</v>
      </c>
      <c r="BF987" s="10">
        <v>30</v>
      </c>
      <c r="BG987" s="10">
        <v>1</v>
      </c>
      <c r="BH987" s="10"/>
      <c r="BI987" s="10"/>
      <c r="BJ987" s="10"/>
      <c r="BK987" s="10"/>
      <c r="BL987" s="10"/>
      <c r="BM987" s="10">
        <v>6.5</v>
      </c>
      <c r="BN987" s="10"/>
      <c r="BO987" s="10">
        <v>8.1999999999999993</v>
      </c>
      <c r="BP987" s="10">
        <v>12</v>
      </c>
      <c r="BQ987" s="10"/>
      <c r="BR987" s="10"/>
      <c r="BS987" s="10"/>
      <c r="BT987" s="10"/>
      <c r="BU987" s="10" t="s">
        <v>2081</v>
      </c>
      <c r="BV987">
        <v>35.9</v>
      </c>
      <c r="BW987">
        <v>1.1178011379999999</v>
      </c>
      <c r="BX987">
        <v>30</v>
      </c>
      <c r="BY987">
        <v>38.6</v>
      </c>
      <c r="BZ987">
        <v>1.1178011379999999</v>
      </c>
      <c r="CA987">
        <v>30</v>
      </c>
      <c r="CB987" t="s">
        <v>113</v>
      </c>
      <c r="CC987" t="s">
        <v>2082</v>
      </c>
    </row>
    <row r="988" spans="1:81" x14ac:dyDescent="0.25">
      <c r="A988" s="10" t="s">
        <v>2046</v>
      </c>
      <c r="B988">
        <v>987</v>
      </c>
      <c r="C988" s="10">
        <v>79</v>
      </c>
      <c r="D988" s="10">
        <v>72</v>
      </c>
      <c r="E988" s="10">
        <v>220</v>
      </c>
      <c r="F988" s="10">
        <v>238</v>
      </c>
      <c r="G988" s="10">
        <v>555</v>
      </c>
      <c r="H988" s="10">
        <v>859</v>
      </c>
      <c r="I988" s="10" t="s">
        <v>2073</v>
      </c>
      <c r="J988" s="10" t="s">
        <v>691</v>
      </c>
      <c r="K988" s="10"/>
      <c r="L988" s="10"/>
      <c r="M988" s="10" t="s">
        <v>85</v>
      </c>
      <c r="N988" s="10"/>
      <c r="O988" s="10" t="s">
        <v>14</v>
      </c>
      <c r="P988" s="10" t="s">
        <v>2086</v>
      </c>
      <c r="Q988" s="10" t="s">
        <v>2075</v>
      </c>
      <c r="R988" s="10">
        <v>2003</v>
      </c>
      <c r="S988" s="10" t="s">
        <v>146</v>
      </c>
      <c r="T988" s="10"/>
      <c r="U988" s="10" t="s">
        <v>2087</v>
      </c>
      <c r="V988" s="10" t="s">
        <v>2088</v>
      </c>
      <c r="W988" s="10" t="s">
        <v>91</v>
      </c>
      <c r="X988" s="10" t="s">
        <v>126</v>
      </c>
      <c r="Y988" s="10" t="s">
        <v>793</v>
      </c>
      <c r="Z988" s="10" t="s">
        <v>794</v>
      </c>
      <c r="AA988" s="10" t="s">
        <v>2078</v>
      </c>
      <c r="AB988" s="10" t="s">
        <v>2079</v>
      </c>
      <c r="AC988" s="10" t="s">
        <v>2080</v>
      </c>
      <c r="AD988" s="10" t="s">
        <v>132</v>
      </c>
      <c r="AE988" s="10" t="s">
        <v>133</v>
      </c>
      <c r="AF988" s="10" t="s">
        <v>100</v>
      </c>
      <c r="AG988" s="10" t="s">
        <v>102</v>
      </c>
      <c r="AH988" s="10" t="s">
        <v>102</v>
      </c>
      <c r="AI988" s="10" t="s">
        <v>134</v>
      </c>
      <c r="AJ988" s="10" t="s">
        <v>2056</v>
      </c>
      <c r="AK988" s="10"/>
      <c r="AL988" s="10"/>
      <c r="AM988" s="10" t="s">
        <v>136</v>
      </c>
      <c r="AN988" s="10" t="s">
        <v>106</v>
      </c>
      <c r="AO988" s="10"/>
      <c r="AP988" s="10"/>
      <c r="AQ988" s="10"/>
      <c r="AR988" s="10"/>
      <c r="AS988" s="10"/>
      <c r="AT988" s="10"/>
      <c r="AU988" s="10">
        <f t="shared" si="43"/>
        <v>1.4</v>
      </c>
      <c r="AV988" s="10"/>
      <c r="AW988" s="10" t="s">
        <v>108</v>
      </c>
      <c r="AX988" s="10">
        <v>28.5</v>
      </c>
      <c r="AY988" s="10" t="s">
        <v>2057</v>
      </c>
      <c r="AZ988" s="10" t="s">
        <v>109</v>
      </c>
      <c r="BA988" s="10" t="s">
        <v>2071</v>
      </c>
      <c r="BB988" s="10">
        <v>28</v>
      </c>
      <c r="BC988" s="10">
        <v>32</v>
      </c>
      <c r="BD988" s="10">
        <v>1</v>
      </c>
      <c r="BE988" s="10" t="s">
        <v>111</v>
      </c>
      <c r="BF988" s="10">
        <v>30</v>
      </c>
      <c r="BG988" s="10">
        <v>1</v>
      </c>
      <c r="BH988" s="10"/>
      <c r="BI988" s="10"/>
      <c r="BJ988" s="10"/>
      <c r="BK988" s="10"/>
      <c r="BL988" s="10"/>
      <c r="BM988" s="10">
        <v>6.5</v>
      </c>
      <c r="BN988" s="10"/>
      <c r="BO988" s="10">
        <v>8.1999999999999993</v>
      </c>
      <c r="BP988" s="10">
        <v>12</v>
      </c>
      <c r="BQ988" s="10"/>
      <c r="BR988" s="10"/>
      <c r="BS988" s="10"/>
      <c r="BT988" s="10"/>
      <c r="BU988" s="10" t="s">
        <v>2081</v>
      </c>
      <c r="BV988">
        <v>38.6</v>
      </c>
      <c r="BW988">
        <v>1.1178011379999999</v>
      </c>
      <c r="BX988">
        <v>30</v>
      </c>
      <c r="BY988">
        <v>38.799999999999997</v>
      </c>
      <c r="BZ988">
        <v>2.7945028440000002</v>
      </c>
      <c r="CA988">
        <v>30</v>
      </c>
      <c r="CB988" t="s">
        <v>113</v>
      </c>
      <c r="CC988" t="s">
        <v>2082</v>
      </c>
    </row>
    <row r="989" spans="1:81" x14ac:dyDescent="0.25">
      <c r="A989" s="10" t="s">
        <v>2046</v>
      </c>
      <c r="B989">
        <v>988</v>
      </c>
      <c r="C989" s="10">
        <v>79</v>
      </c>
      <c r="D989" s="10">
        <v>72</v>
      </c>
      <c r="E989" s="10">
        <v>220</v>
      </c>
      <c r="F989" s="10">
        <v>238</v>
      </c>
      <c r="G989" s="10">
        <v>556</v>
      </c>
      <c r="H989" s="10">
        <v>857</v>
      </c>
      <c r="I989" s="10" t="s">
        <v>2073</v>
      </c>
      <c r="J989" s="10" t="s">
        <v>691</v>
      </c>
      <c r="K989" s="10"/>
      <c r="L989" s="10"/>
      <c r="M989" s="10" t="s">
        <v>85</v>
      </c>
      <c r="N989" s="10"/>
      <c r="O989" s="10" t="s">
        <v>14</v>
      </c>
      <c r="P989" s="10" t="s">
        <v>2089</v>
      </c>
      <c r="Q989" s="10" t="s">
        <v>2075</v>
      </c>
      <c r="R989" s="10">
        <v>2003</v>
      </c>
      <c r="S989" s="10" t="s">
        <v>146</v>
      </c>
      <c r="T989" s="10"/>
      <c r="U989" s="10" t="s">
        <v>2090</v>
      </c>
      <c r="V989" s="10" t="s">
        <v>2091</v>
      </c>
      <c r="W989" s="10" t="s">
        <v>91</v>
      </c>
      <c r="X989" s="10" t="s">
        <v>126</v>
      </c>
      <c r="Y989" s="10" t="s">
        <v>793</v>
      </c>
      <c r="Z989" s="10" t="s">
        <v>794</v>
      </c>
      <c r="AA989" s="10" t="s">
        <v>2078</v>
      </c>
      <c r="AB989" s="10" t="s">
        <v>2079</v>
      </c>
      <c r="AC989" s="10" t="s">
        <v>2080</v>
      </c>
      <c r="AD989" s="10" t="s">
        <v>132</v>
      </c>
      <c r="AE989" s="10" t="s">
        <v>133</v>
      </c>
      <c r="AF989" s="10" t="s">
        <v>100</v>
      </c>
      <c r="AG989" s="10" t="s">
        <v>102</v>
      </c>
      <c r="AH989" s="10" t="s">
        <v>102</v>
      </c>
      <c r="AI989" s="10" t="s">
        <v>134</v>
      </c>
      <c r="AJ989" s="10" t="s">
        <v>2056</v>
      </c>
      <c r="AK989" s="10"/>
      <c r="AL989" s="10"/>
      <c r="AM989" s="10" t="s">
        <v>136</v>
      </c>
      <c r="AN989" s="10" t="s">
        <v>106</v>
      </c>
      <c r="AO989" s="10"/>
      <c r="AP989" s="10"/>
      <c r="AQ989" s="10"/>
      <c r="AR989" s="10"/>
      <c r="AS989" s="10"/>
      <c r="AT989" s="10"/>
      <c r="AU989" s="10">
        <f t="shared" si="43"/>
        <v>1.4</v>
      </c>
      <c r="AV989" s="10"/>
      <c r="AW989" s="10" t="s">
        <v>108</v>
      </c>
      <c r="AX989" s="10">
        <v>28.5</v>
      </c>
      <c r="AY989" s="10" t="s">
        <v>2057</v>
      </c>
      <c r="AZ989" s="10" t="s">
        <v>109</v>
      </c>
      <c r="BA989" s="10" t="s">
        <v>2092</v>
      </c>
      <c r="BB989" s="10">
        <v>20</v>
      </c>
      <c r="BC989" s="10">
        <v>24</v>
      </c>
      <c r="BD989" s="10">
        <v>1</v>
      </c>
      <c r="BE989" s="10" t="s">
        <v>111</v>
      </c>
      <c r="BF989" s="10">
        <v>30</v>
      </c>
      <c r="BG989" s="10">
        <v>1</v>
      </c>
      <c r="BH989" s="10"/>
      <c r="BI989" s="10"/>
      <c r="BJ989" s="10"/>
      <c r="BK989" s="10"/>
      <c r="BL989" s="10"/>
      <c r="BM989" s="10">
        <v>6.5</v>
      </c>
      <c r="BN989" s="10"/>
      <c r="BO989" s="10">
        <v>8.1999999999999993</v>
      </c>
      <c r="BP989" s="10">
        <v>12</v>
      </c>
      <c r="BQ989" s="10"/>
      <c r="BR989" s="10"/>
      <c r="BS989" s="10"/>
      <c r="BT989" s="10"/>
      <c r="BU989" s="10" t="s">
        <v>2081</v>
      </c>
      <c r="BV989">
        <v>36.9</v>
      </c>
      <c r="BW989">
        <v>0.27945028399999999</v>
      </c>
      <c r="BX989">
        <v>30</v>
      </c>
      <c r="BY989">
        <v>37.6</v>
      </c>
      <c r="BZ989">
        <v>0.83835085300000001</v>
      </c>
      <c r="CA989">
        <v>30</v>
      </c>
      <c r="CB989" t="s">
        <v>113</v>
      </c>
      <c r="CC989" t="s">
        <v>2082</v>
      </c>
    </row>
    <row r="990" spans="1:81" x14ac:dyDescent="0.25">
      <c r="A990" s="10" t="s">
        <v>2046</v>
      </c>
      <c r="B990">
        <v>989</v>
      </c>
      <c r="C990" s="10">
        <v>79</v>
      </c>
      <c r="D990" s="10">
        <v>72</v>
      </c>
      <c r="E990" s="10">
        <v>220</v>
      </c>
      <c r="F990" s="10">
        <v>238</v>
      </c>
      <c r="G990" s="10">
        <v>556</v>
      </c>
      <c r="H990" s="10">
        <v>858</v>
      </c>
      <c r="I990" s="10" t="s">
        <v>2073</v>
      </c>
      <c r="J990" s="10" t="s">
        <v>691</v>
      </c>
      <c r="K990" s="10"/>
      <c r="L990" s="10"/>
      <c r="M990" s="10" t="s">
        <v>85</v>
      </c>
      <c r="N990" s="10"/>
      <c r="O990" s="10" t="s">
        <v>14</v>
      </c>
      <c r="P990" s="10" t="s">
        <v>2093</v>
      </c>
      <c r="Q990" s="10" t="s">
        <v>2075</v>
      </c>
      <c r="R990" s="10">
        <v>2003</v>
      </c>
      <c r="S990" s="10" t="s">
        <v>146</v>
      </c>
      <c r="T990" s="10"/>
      <c r="U990" s="10" t="s">
        <v>2094</v>
      </c>
      <c r="V990" s="10" t="s">
        <v>2095</v>
      </c>
      <c r="W990" s="10" t="s">
        <v>91</v>
      </c>
      <c r="X990" s="10" t="s">
        <v>126</v>
      </c>
      <c r="Y990" s="10" t="s">
        <v>793</v>
      </c>
      <c r="Z990" s="10" t="s">
        <v>794</v>
      </c>
      <c r="AA990" s="10" t="s">
        <v>2078</v>
      </c>
      <c r="AB990" s="10" t="s">
        <v>2079</v>
      </c>
      <c r="AC990" s="10" t="s">
        <v>2080</v>
      </c>
      <c r="AD990" s="10" t="s">
        <v>132</v>
      </c>
      <c r="AE990" s="10" t="s">
        <v>133</v>
      </c>
      <c r="AF990" s="10" t="s">
        <v>100</v>
      </c>
      <c r="AG990" s="10" t="s">
        <v>102</v>
      </c>
      <c r="AH990" s="10" t="s">
        <v>102</v>
      </c>
      <c r="AI990" s="10" t="s">
        <v>134</v>
      </c>
      <c r="AJ990" s="10" t="s">
        <v>2056</v>
      </c>
      <c r="AK990" s="10"/>
      <c r="AL990" s="10"/>
      <c r="AM990" s="10" t="s">
        <v>136</v>
      </c>
      <c r="AN990" s="10" t="s">
        <v>106</v>
      </c>
      <c r="AO990" s="10"/>
      <c r="AP990" s="10"/>
      <c r="AQ990" s="10"/>
      <c r="AR990" s="10"/>
      <c r="AS990" s="10"/>
      <c r="AT990" s="10"/>
      <c r="AU990" s="10">
        <f t="shared" si="43"/>
        <v>1.4</v>
      </c>
      <c r="AV990" s="10"/>
      <c r="AW990" s="10" t="s">
        <v>108</v>
      </c>
      <c r="AX990" s="10">
        <v>28.5</v>
      </c>
      <c r="AY990" s="10" t="s">
        <v>2057</v>
      </c>
      <c r="AZ990" s="10" t="s">
        <v>109</v>
      </c>
      <c r="BA990" s="10" t="s">
        <v>2092</v>
      </c>
      <c r="BB990" s="10">
        <v>24</v>
      </c>
      <c r="BC990" s="10">
        <v>28</v>
      </c>
      <c r="BD990" s="10">
        <v>1</v>
      </c>
      <c r="BE990" s="10" t="s">
        <v>111</v>
      </c>
      <c r="BF990" s="10">
        <v>30</v>
      </c>
      <c r="BG990" s="10">
        <v>1</v>
      </c>
      <c r="BH990" s="10"/>
      <c r="BI990" s="10"/>
      <c r="BJ990" s="10"/>
      <c r="BK990" s="10"/>
      <c r="BL990" s="10"/>
      <c r="BM990" s="10">
        <v>6.5</v>
      </c>
      <c r="BN990" s="10"/>
      <c r="BO990" s="10">
        <v>8.1999999999999993</v>
      </c>
      <c r="BP990" s="10">
        <v>12</v>
      </c>
      <c r="BQ990" s="10"/>
      <c r="BR990" s="10"/>
      <c r="BS990" s="10"/>
      <c r="BT990" s="10"/>
      <c r="BU990" s="10" t="s">
        <v>2081</v>
      </c>
      <c r="BV990">
        <v>37.6</v>
      </c>
      <c r="BW990">
        <v>0.83835085300000001</v>
      </c>
      <c r="BX990">
        <v>30</v>
      </c>
      <c r="BY990">
        <v>40.6</v>
      </c>
      <c r="BZ990">
        <v>1.1178011379999999</v>
      </c>
      <c r="CA990">
        <v>30</v>
      </c>
      <c r="CB990" t="s">
        <v>113</v>
      </c>
      <c r="CC990" t="s">
        <v>2082</v>
      </c>
    </row>
    <row r="991" spans="1:81" x14ac:dyDescent="0.25">
      <c r="A991" s="10" t="s">
        <v>2046</v>
      </c>
      <c r="B991">
        <v>990</v>
      </c>
      <c r="C991" s="10">
        <v>79</v>
      </c>
      <c r="D991" s="10">
        <v>72</v>
      </c>
      <c r="E991" s="10">
        <v>220</v>
      </c>
      <c r="F991" s="10">
        <v>238</v>
      </c>
      <c r="G991" s="10">
        <v>556</v>
      </c>
      <c r="H991" s="10">
        <v>859</v>
      </c>
      <c r="I991" s="10" t="s">
        <v>2073</v>
      </c>
      <c r="J991" s="10" t="s">
        <v>691</v>
      </c>
      <c r="K991" s="10"/>
      <c r="L991" s="10"/>
      <c r="M991" s="10" t="s">
        <v>85</v>
      </c>
      <c r="N991" s="10"/>
      <c r="O991" s="10" t="s">
        <v>14</v>
      </c>
      <c r="P991" s="10" t="s">
        <v>2096</v>
      </c>
      <c r="Q991" s="10" t="s">
        <v>2075</v>
      </c>
      <c r="R991" s="10">
        <v>2003</v>
      </c>
      <c r="S991" s="10" t="s">
        <v>146</v>
      </c>
      <c r="T991" s="10"/>
      <c r="U991" s="10" t="s">
        <v>2097</v>
      </c>
      <c r="V991" s="10" t="s">
        <v>2098</v>
      </c>
      <c r="W991" s="10" t="s">
        <v>91</v>
      </c>
      <c r="X991" s="10" t="s">
        <v>126</v>
      </c>
      <c r="Y991" s="10" t="s">
        <v>793</v>
      </c>
      <c r="Z991" s="10" t="s">
        <v>794</v>
      </c>
      <c r="AA991" s="10" t="s">
        <v>2078</v>
      </c>
      <c r="AB991" s="10" t="s">
        <v>2079</v>
      </c>
      <c r="AC991" s="10" t="s">
        <v>2080</v>
      </c>
      <c r="AD991" s="10" t="s">
        <v>132</v>
      </c>
      <c r="AE991" s="10" t="s">
        <v>133</v>
      </c>
      <c r="AF991" s="10" t="s">
        <v>100</v>
      </c>
      <c r="AG991" s="10" t="s">
        <v>102</v>
      </c>
      <c r="AH991" s="10" t="s">
        <v>102</v>
      </c>
      <c r="AI991" s="10" t="s">
        <v>134</v>
      </c>
      <c r="AJ991" s="10" t="s">
        <v>2056</v>
      </c>
      <c r="AK991" s="10"/>
      <c r="AL991" s="10"/>
      <c r="AM991" s="10" t="s">
        <v>136</v>
      </c>
      <c r="AN991" s="10" t="s">
        <v>106</v>
      </c>
      <c r="AO991" s="10"/>
      <c r="AP991" s="10"/>
      <c r="AQ991" s="10"/>
      <c r="AR991" s="10"/>
      <c r="AS991" s="10"/>
      <c r="AT991" s="10"/>
      <c r="AU991" s="10">
        <f t="shared" si="43"/>
        <v>1.4</v>
      </c>
      <c r="AV991" s="10"/>
      <c r="AW991" s="10" t="s">
        <v>108</v>
      </c>
      <c r="AX991" s="10">
        <v>28.5</v>
      </c>
      <c r="AY991" s="10" t="s">
        <v>2057</v>
      </c>
      <c r="AZ991" s="10" t="s">
        <v>109</v>
      </c>
      <c r="BA991" s="10" t="s">
        <v>2092</v>
      </c>
      <c r="BB991" s="10">
        <v>28</v>
      </c>
      <c r="BC991" s="10">
        <v>32</v>
      </c>
      <c r="BD991" s="10">
        <v>1</v>
      </c>
      <c r="BE991" s="10" t="s">
        <v>111</v>
      </c>
      <c r="BF991" s="10">
        <v>30</v>
      </c>
      <c r="BG991" s="10">
        <v>1</v>
      </c>
      <c r="BH991" s="10"/>
      <c r="BI991" s="10"/>
      <c r="BJ991" s="10"/>
      <c r="BK991" s="10"/>
      <c r="BL991" s="10"/>
      <c r="BM991" s="10">
        <v>6.5</v>
      </c>
      <c r="BN991" s="10"/>
      <c r="BO991" s="10">
        <v>8.1999999999999993</v>
      </c>
      <c r="BP991" s="10">
        <v>12</v>
      </c>
      <c r="BQ991" s="10"/>
      <c r="BR991" s="10"/>
      <c r="BS991" s="10"/>
      <c r="BT991" s="10"/>
      <c r="BU991" s="10" t="s">
        <v>2081</v>
      </c>
      <c r="BV991">
        <v>40.6</v>
      </c>
      <c r="BW991">
        <v>1.1178011379999999</v>
      </c>
      <c r="BX991">
        <v>30</v>
      </c>
      <c r="BY991">
        <v>40.799999999999997</v>
      </c>
      <c r="BZ991">
        <v>1.1178011379999999</v>
      </c>
      <c r="CA991">
        <v>30</v>
      </c>
      <c r="CB991" t="s">
        <v>113</v>
      </c>
      <c r="CC991" t="s">
        <v>2082</v>
      </c>
    </row>
    <row r="992" spans="1:81" x14ac:dyDescent="0.25">
      <c r="A992" s="10" t="s">
        <v>2046</v>
      </c>
      <c r="B992">
        <v>991</v>
      </c>
      <c r="C992" s="10">
        <v>83</v>
      </c>
      <c r="D992" s="10">
        <v>76</v>
      </c>
      <c r="E992" s="10">
        <v>221</v>
      </c>
      <c r="F992" s="10">
        <v>239</v>
      </c>
      <c r="G992" s="10">
        <v>557</v>
      </c>
      <c r="H992" s="10">
        <v>860</v>
      </c>
      <c r="I992" s="10" t="s">
        <v>2099</v>
      </c>
      <c r="J992" s="10" t="s">
        <v>691</v>
      </c>
      <c r="K992" s="10"/>
      <c r="L992" s="10"/>
      <c r="M992" s="10" t="s">
        <v>85</v>
      </c>
      <c r="N992" s="10"/>
      <c r="O992" s="10" t="s">
        <v>14</v>
      </c>
      <c r="P992" s="10" t="s">
        <v>2100</v>
      </c>
      <c r="Q992" s="10" t="s">
        <v>2101</v>
      </c>
      <c r="R992" s="10">
        <v>2018</v>
      </c>
      <c r="S992" s="10" t="s">
        <v>2102</v>
      </c>
      <c r="T992" s="10"/>
      <c r="U992" s="10" t="s">
        <v>2103</v>
      </c>
      <c r="V992" s="10" t="s">
        <v>2104</v>
      </c>
      <c r="W992" s="10" t="s">
        <v>170</v>
      </c>
      <c r="X992" s="10" t="s">
        <v>171</v>
      </c>
      <c r="Y992" s="10" t="s">
        <v>778</v>
      </c>
      <c r="Z992" s="10" t="s">
        <v>2105</v>
      </c>
      <c r="AA992" s="10" t="s">
        <v>2106</v>
      </c>
      <c r="AB992" s="10" t="s">
        <v>2107</v>
      </c>
      <c r="AC992" s="10" t="s">
        <v>2108</v>
      </c>
      <c r="AD992" s="10" t="s">
        <v>98</v>
      </c>
      <c r="AE992" s="10" t="s">
        <v>177</v>
      </c>
      <c r="AF992" s="10" t="s">
        <v>100</v>
      </c>
      <c r="AG992" s="10" t="s">
        <v>102</v>
      </c>
      <c r="AH992" s="10" t="s">
        <v>102</v>
      </c>
      <c r="AI992" s="10" t="s">
        <v>134</v>
      </c>
      <c r="AJ992" s="10" t="s">
        <v>2056</v>
      </c>
      <c r="AK992" s="10"/>
      <c r="AL992" s="10"/>
      <c r="AM992" s="10" t="s">
        <v>136</v>
      </c>
      <c r="AN992" s="10" t="s">
        <v>106</v>
      </c>
      <c r="AO992" s="10"/>
      <c r="AP992" s="10"/>
      <c r="AQ992" s="10"/>
      <c r="AR992" s="10"/>
      <c r="AS992" s="10"/>
      <c r="AT992" s="10"/>
      <c r="AU992" s="10"/>
      <c r="AV992" s="10"/>
      <c r="AW992" s="10" t="s">
        <v>108</v>
      </c>
      <c r="AX992" s="10"/>
      <c r="AY992" s="10"/>
      <c r="AZ992" s="10" t="s">
        <v>109</v>
      </c>
      <c r="BA992" s="10" t="s">
        <v>2092</v>
      </c>
      <c r="BB992" s="10">
        <v>25</v>
      </c>
      <c r="BC992" s="10">
        <v>35</v>
      </c>
      <c r="BD992" s="10"/>
      <c r="BE992" s="10" t="s">
        <v>139</v>
      </c>
      <c r="BF992" s="10">
        <v>7</v>
      </c>
      <c r="BG992" s="10">
        <v>0.1</v>
      </c>
      <c r="BH992" s="10"/>
      <c r="BI992" s="10"/>
      <c r="BJ992" s="10"/>
      <c r="BK992" s="10"/>
      <c r="BL992" s="10"/>
      <c r="BM992" s="10"/>
      <c r="BN992" s="10"/>
      <c r="BO992" s="10"/>
      <c r="BP992" s="10">
        <v>12</v>
      </c>
      <c r="BQ992" s="10"/>
      <c r="BR992" s="10"/>
      <c r="BS992" s="10"/>
      <c r="BT992" s="10"/>
      <c r="BU992" s="10" t="s">
        <v>2109</v>
      </c>
      <c r="BV992">
        <v>52.2</v>
      </c>
      <c r="BW992">
        <v>1.549193338</v>
      </c>
      <c r="BX992">
        <v>15</v>
      </c>
      <c r="BY992">
        <v>53.9</v>
      </c>
      <c r="BZ992">
        <v>1.9364916729999999</v>
      </c>
      <c r="CA992">
        <v>15</v>
      </c>
      <c r="CB992" t="s">
        <v>113</v>
      </c>
      <c r="CC992" t="s">
        <v>770</v>
      </c>
    </row>
    <row r="993" spans="1:81" x14ac:dyDescent="0.25">
      <c r="A993" s="10" t="s">
        <v>2023</v>
      </c>
      <c r="B993">
        <v>992</v>
      </c>
      <c r="C993" s="10">
        <v>83</v>
      </c>
      <c r="D993" s="10">
        <v>76</v>
      </c>
      <c r="E993" s="10">
        <v>221</v>
      </c>
      <c r="F993" s="10">
        <v>239</v>
      </c>
      <c r="G993" s="10">
        <v>558</v>
      </c>
      <c r="H993" s="10">
        <v>860</v>
      </c>
      <c r="I993" s="10" t="s">
        <v>2099</v>
      </c>
      <c r="J993" s="10" t="s">
        <v>691</v>
      </c>
      <c r="K993" s="10"/>
      <c r="L993" s="10"/>
      <c r="M993" s="10" t="s">
        <v>85</v>
      </c>
      <c r="N993" s="10"/>
      <c r="O993" s="10" t="s">
        <v>14</v>
      </c>
      <c r="P993" s="10" t="s">
        <v>2100</v>
      </c>
      <c r="Q993" s="10" t="s">
        <v>2101</v>
      </c>
      <c r="R993" s="10">
        <v>2018</v>
      </c>
      <c r="S993" s="10" t="s">
        <v>2102</v>
      </c>
      <c r="T993" s="10"/>
      <c r="U993" s="10" t="s">
        <v>2103</v>
      </c>
      <c r="V993" s="10" t="s">
        <v>2104</v>
      </c>
      <c r="W993" s="10" t="s">
        <v>170</v>
      </c>
      <c r="X993" s="10" t="s">
        <v>171</v>
      </c>
      <c r="Y993" s="10" t="s">
        <v>778</v>
      </c>
      <c r="Z993" s="10" t="s">
        <v>2105</v>
      </c>
      <c r="AA993" s="10" t="s">
        <v>2106</v>
      </c>
      <c r="AB993" s="10" t="s">
        <v>2107</v>
      </c>
      <c r="AC993" s="10" t="s">
        <v>2108</v>
      </c>
      <c r="AD993" s="10" t="s">
        <v>98</v>
      </c>
      <c r="AE993" s="10" t="s">
        <v>177</v>
      </c>
      <c r="AF993" s="10" t="s">
        <v>100</v>
      </c>
      <c r="AG993" s="10" t="s">
        <v>102</v>
      </c>
      <c r="AH993" s="10" t="s">
        <v>102</v>
      </c>
      <c r="AI993" s="10" t="s">
        <v>134</v>
      </c>
      <c r="AJ993" s="10" t="s">
        <v>2056</v>
      </c>
      <c r="AK993" s="10"/>
      <c r="AL993" s="10"/>
      <c r="AM993" s="10" t="s">
        <v>136</v>
      </c>
      <c r="AN993" s="10" t="s">
        <v>106</v>
      </c>
      <c r="AO993" s="10"/>
      <c r="AP993" s="10"/>
      <c r="AQ993" s="10"/>
      <c r="AR993" s="10"/>
      <c r="AS993" s="10"/>
      <c r="AT993" s="10"/>
      <c r="AU993" s="10"/>
      <c r="AV993" s="10"/>
      <c r="AW993" s="10" t="s">
        <v>108</v>
      </c>
      <c r="AX993" s="10"/>
      <c r="AY993" s="10"/>
      <c r="AZ993" s="10" t="s">
        <v>109</v>
      </c>
      <c r="BA993" s="10" t="s">
        <v>180</v>
      </c>
      <c r="BB993" s="10">
        <v>25</v>
      </c>
      <c r="BC993" s="10">
        <v>35</v>
      </c>
      <c r="BD993" s="10"/>
      <c r="BE993" s="10" t="s">
        <v>139</v>
      </c>
      <c r="BF993" s="10">
        <v>7</v>
      </c>
      <c r="BG993" s="10">
        <v>0.1</v>
      </c>
      <c r="BH993" s="10"/>
      <c r="BI993" s="10"/>
      <c r="BJ993" s="10"/>
      <c r="BK993" s="10"/>
      <c r="BL993" s="10"/>
      <c r="BM993" s="10"/>
      <c r="BN993" s="10"/>
      <c r="BO993" s="10"/>
      <c r="BP993" s="10">
        <v>12</v>
      </c>
      <c r="BQ993" s="10"/>
      <c r="BR993" s="10"/>
      <c r="BS993" s="10"/>
      <c r="BT993" s="10"/>
      <c r="BU993" s="10" t="s">
        <v>2110</v>
      </c>
      <c r="BV993">
        <v>53.5</v>
      </c>
      <c r="BW993">
        <v>1.161895004</v>
      </c>
      <c r="BX993">
        <v>15</v>
      </c>
      <c r="BY993">
        <v>55.9</v>
      </c>
      <c r="BZ993">
        <v>1.549193338</v>
      </c>
      <c r="CA993">
        <v>15</v>
      </c>
      <c r="CB993" t="s">
        <v>113</v>
      </c>
      <c r="CC993" t="s">
        <v>770</v>
      </c>
    </row>
    <row r="994" spans="1:81" x14ac:dyDescent="0.25">
      <c r="A994" s="10" t="s">
        <v>2046</v>
      </c>
      <c r="B994">
        <v>993</v>
      </c>
      <c r="C994" s="10">
        <v>84</v>
      </c>
      <c r="D994" s="10">
        <v>77</v>
      </c>
      <c r="E994" s="10">
        <v>222</v>
      </c>
      <c r="F994" s="10">
        <v>240</v>
      </c>
      <c r="G994" s="10">
        <v>559</v>
      </c>
      <c r="H994" s="10">
        <v>861</v>
      </c>
      <c r="I994" s="10" t="s">
        <v>490</v>
      </c>
      <c r="J994" s="10" t="s">
        <v>691</v>
      </c>
      <c r="K994" s="10"/>
      <c r="L994" s="10"/>
      <c r="M994" s="10" t="s">
        <v>85</v>
      </c>
      <c r="N994" s="10"/>
      <c r="O994" s="10" t="s">
        <v>250</v>
      </c>
      <c r="P994" s="10" t="s">
        <v>2111</v>
      </c>
      <c r="Q994" s="10" t="s">
        <v>2112</v>
      </c>
      <c r="R994" s="10">
        <v>2016</v>
      </c>
      <c r="S994" s="10" t="s">
        <v>253</v>
      </c>
      <c r="T994" s="10"/>
      <c r="U994" s="10"/>
      <c r="V994" s="10" t="s">
        <v>2113</v>
      </c>
      <c r="W994" s="10" t="s">
        <v>91</v>
      </c>
      <c r="X994" s="10" t="s">
        <v>1849</v>
      </c>
      <c r="Y994" s="10" t="s">
        <v>2114</v>
      </c>
      <c r="Z994" s="10" t="s">
        <v>2115</v>
      </c>
      <c r="AA994" s="10" t="s">
        <v>2116</v>
      </c>
      <c r="AB994" s="10" t="s">
        <v>2117</v>
      </c>
      <c r="AC994" s="10" t="s">
        <v>2118</v>
      </c>
      <c r="AD994" s="10" t="s">
        <v>132</v>
      </c>
      <c r="AE994" s="10" t="s">
        <v>133</v>
      </c>
      <c r="AF994" s="10" t="s">
        <v>100</v>
      </c>
      <c r="AG994" s="10" t="s">
        <v>102</v>
      </c>
      <c r="AH994" s="10" t="s">
        <v>102</v>
      </c>
      <c r="AI994" s="10" t="s">
        <v>134</v>
      </c>
      <c r="AJ994" s="10" t="s">
        <v>2056</v>
      </c>
      <c r="AK994" s="10"/>
      <c r="AL994" s="10"/>
      <c r="AM994" s="10" t="s">
        <v>136</v>
      </c>
      <c r="AN994" s="10" t="s">
        <v>2119</v>
      </c>
      <c r="AO994" s="10"/>
      <c r="AP994" s="10"/>
      <c r="AQ994" s="10"/>
      <c r="AR994" s="10"/>
      <c r="AS994" s="10"/>
      <c r="AT994" s="10"/>
      <c r="AU994" s="10"/>
      <c r="AV994" s="10"/>
      <c r="AW994" s="10" t="s">
        <v>108</v>
      </c>
      <c r="AX994" s="10">
        <v>25</v>
      </c>
      <c r="AY994" s="10" t="s">
        <v>2057</v>
      </c>
      <c r="AZ994" s="10" t="s">
        <v>109</v>
      </c>
      <c r="BA994" s="10" t="s">
        <v>2092</v>
      </c>
      <c r="BB994" s="10">
        <v>18</v>
      </c>
      <c r="BC994" s="10">
        <v>22</v>
      </c>
      <c r="BD994" s="10"/>
      <c r="BE994" s="10" t="s">
        <v>139</v>
      </c>
      <c r="BF994" s="10">
        <v>14</v>
      </c>
      <c r="BG994" s="10">
        <v>0.3</v>
      </c>
      <c r="BH994" s="10"/>
      <c r="BI994" s="10"/>
      <c r="BJ994" s="10"/>
      <c r="BK994" s="10"/>
      <c r="BL994" s="10"/>
      <c r="BM994" s="10"/>
      <c r="BN994" s="10">
        <v>30</v>
      </c>
      <c r="BO994" s="10"/>
      <c r="BP994" s="10">
        <v>12</v>
      </c>
      <c r="BQ994" s="10"/>
      <c r="BR994" s="10" t="s">
        <v>2120</v>
      </c>
      <c r="BS994" s="10"/>
      <c r="BT994" s="10" t="s">
        <v>2121</v>
      </c>
      <c r="BU994" s="10"/>
      <c r="BV994">
        <v>34.299999999999997</v>
      </c>
      <c r="BW994">
        <v>1.767766953</v>
      </c>
      <c r="BX994">
        <v>2</v>
      </c>
      <c r="BY994">
        <v>35.4</v>
      </c>
      <c r="BZ994">
        <v>0.49497474699999999</v>
      </c>
      <c r="CA994">
        <v>2</v>
      </c>
      <c r="CB994" t="s">
        <v>113</v>
      </c>
      <c r="CC994" t="s">
        <v>2122</v>
      </c>
    </row>
    <row r="995" spans="1:81" x14ac:dyDescent="0.25">
      <c r="A995" s="10" t="s">
        <v>2046</v>
      </c>
      <c r="B995">
        <v>994</v>
      </c>
      <c r="C995" s="10">
        <v>84</v>
      </c>
      <c r="D995" s="10">
        <v>77</v>
      </c>
      <c r="E995" s="10">
        <v>222</v>
      </c>
      <c r="F995" s="10">
        <v>240</v>
      </c>
      <c r="G995" s="10">
        <v>559</v>
      </c>
      <c r="H995" s="10">
        <v>862</v>
      </c>
      <c r="I995" s="10" t="s">
        <v>490</v>
      </c>
      <c r="J995" s="10" t="s">
        <v>691</v>
      </c>
      <c r="K995" s="10"/>
      <c r="L995" s="10"/>
      <c r="M995" s="10" t="s">
        <v>85</v>
      </c>
      <c r="N995" s="10"/>
      <c r="O995" s="10" t="s">
        <v>250</v>
      </c>
      <c r="P995" s="10" t="s">
        <v>2123</v>
      </c>
      <c r="Q995" s="10" t="s">
        <v>2112</v>
      </c>
      <c r="R995" s="10">
        <v>2016</v>
      </c>
      <c r="S995" s="10" t="s">
        <v>253</v>
      </c>
      <c r="T995" s="10"/>
      <c r="U995" s="10"/>
      <c r="V995" s="10" t="s">
        <v>2124</v>
      </c>
      <c r="W995" s="10" t="s">
        <v>91</v>
      </c>
      <c r="X995" s="10" t="s">
        <v>1849</v>
      </c>
      <c r="Y995" s="10" t="s">
        <v>2114</v>
      </c>
      <c r="Z995" s="10" t="s">
        <v>2115</v>
      </c>
      <c r="AA995" s="10" t="s">
        <v>2116</v>
      </c>
      <c r="AB995" s="10" t="s">
        <v>2117</v>
      </c>
      <c r="AC995" s="10" t="s">
        <v>2118</v>
      </c>
      <c r="AD995" s="10" t="s">
        <v>132</v>
      </c>
      <c r="AE995" s="10" t="s">
        <v>133</v>
      </c>
      <c r="AF995" s="10" t="s">
        <v>100</v>
      </c>
      <c r="AG995" s="10" t="s">
        <v>102</v>
      </c>
      <c r="AH995" s="10" t="s">
        <v>102</v>
      </c>
      <c r="AI995" s="10" t="s">
        <v>134</v>
      </c>
      <c r="AJ995" s="10" t="s">
        <v>2056</v>
      </c>
      <c r="AK995" s="10"/>
      <c r="AL995" s="10"/>
      <c r="AM995" s="10" t="s">
        <v>136</v>
      </c>
      <c r="AN995" s="10" t="s">
        <v>2119</v>
      </c>
      <c r="AO995" s="10"/>
      <c r="AP995" s="10"/>
      <c r="AQ995" s="10"/>
      <c r="AR995" s="10"/>
      <c r="AS995" s="10"/>
      <c r="AT995" s="10"/>
      <c r="AU995" s="10"/>
      <c r="AV995" s="10"/>
      <c r="AW995" s="10" t="s">
        <v>108</v>
      </c>
      <c r="AX995" s="10">
        <v>25</v>
      </c>
      <c r="AY995" s="10" t="s">
        <v>2057</v>
      </c>
      <c r="AZ995" s="10" t="s">
        <v>109</v>
      </c>
      <c r="BA995" s="10" t="s">
        <v>2092</v>
      </c>
      <c r="BB995" s="10">
        <v>22</v>
      </c>
      <c r="BC995" s="10">
        <v>26</v>
      </c>
      <c r="BD995" s="10"/>
      <c r="BE995" s="10" t="s">
        <v>139</v>
      </c>
      <c r="BF995" s="10">
        <v>14</v>
      </c>
      <c r="BG995" s="10">
        <v>0.3</v>
      </c>
      <c r="BH995" s="10"/>
      <c r="BI995" s="10"/>
      <c r="BJ995" s="10"/>
      <c r="BK995" s="10"/>
      <c r="BL995" s="10"/>
      <c r="BM995" s="10"/>
      <c r="BN995" s="10">
        <v>30</v>
      </c>
      <c r="BO995" s="10"/>
      <c r="BP995" s="10">
        <v>12</v>
      </c>
      <c r="BQ995" s="10"/>
      <c r="BR995" s="10" t="s">
        <v>2120</v>
      </c>
      <c r="BS995" s="10"/>
      <c r="BT995" s="10" t="s">
        <v>2121</v>
      </c>
      <c r="BU995" s="10"/>
      <c r="BV995">
        <v>35.4</v>
      </c>
      <c r="BW995">
        <v>0.49497474699999999</v>
      </c>
      <c r="BX995">
        <v>2</v>
      </c>
      <c r="BY995">
        <v>35.299999999999997</v>
      </c>
      <c r="BZ995">
        <v>1.060660172</v>
      </c>
      <c r="CA995">
        <v>2</v>
      </c>
      <c r="CB995" t="s">
        <v>113</v>
      </c>
      <c r="CC995" t="s">
        <v>2122</v>
      </c>
    </row>
    <row r="996" spans="1:81" x14ac:dyDescent="0.25">
      <c r="A996" s="10" t="s">
        <v>2046</v>
      </c>
      <c r="B996">
        <v>995</v>
      </c>
      <c r="C996" s="10">
        <v>84</v>
      </c>
      <c r="D996" s="10">
        <v>77</v>
      </c>
      <c r="E996" s="10">
        <v>222</v>
      </c>
      <c r="F996" s="10">
        <v>240</v>
      </c>
      <c r="G996" s="10">
        <v>559</v>
      </c>
      <c r="H996" s="10">
        <v>863</v>
      </c>
      <c r="I996" s="10" t="s">
        <v>490</v>
      </c>
      <c r="J996" s="10" t="s">
        <v>691</v>
      </c>
      <c r="K996" s="10"/>
      <c r="L996" s="10"/>
      <c r="M996" s="10" t="s">
        <v>85</v>
      </c>
      <c r="N996" s="10"/>
      <c r="O996" s="10" t="s">
        <v>250</v>
      </c>
      <c r="P996" s="10" t="s">
        <v>2125</v>
      </c>
      <c r="Q996" s="10" t="s">
        <v>2112</v>
      </c>
      <c r="R996" s="10">
        <v>2016</v>
      </c>
      <c r="S996" s="10" t="s">
        <v>253</v>
      </c>
      <c r="T996" s="10"/>
      <c r="U996" s="10"/>
      <c r="V996" s="10" t="s">
        <v>2126</v>
      </c>
      <c r="W996" s="10" t="s">
        <v>91</v>
      </c>
      <c r="X996" s="10" t="s">
        <v>1849</v>
      </c>
      <c r="Y996" s="10" t="s">
        <v>2114</v>
      </c>
      <c r="Z996" s="10" t="s">
        <v>2115</v>
      </c>
      <c r="AA996" s="10" t="s">
        <v>2116</v>
      </c>
      <c r="AB996" s="10" t="s">
        <v>2117</v>
      </c>
      <c r="AC996" s="10" t="s">
        <v>2118</v>
      </c>
      <c r="AD996" s="10" t="s">
        <v>132</v>
      </c>
      <c r="AE996" s="10" t="s">
        <v>133</v>
      </c>
      <c r="AF996" s="10" t="s">
        <v>100</v>
      </c>
      <c r="AG996" s="10" t="s">
        <v>102</v>
      </c>
      <c r="AH996" s="10" t="s">
        <v>102</v>
      </c>
      <c r="AI996" s="10" t="s">
        <v>134</v>
      </c>
      <c r="AJ996" s="10" t="s">
        <v>2056</v>
      </c>
      <c r="AK996" s="10"/>
      <c r="AL996" s="10"/>
      <c r="AM996" s="10" t="s">
        <v>136</v>
      </c>
      <c r="AN996" s="10" t="s">
        <v>2119</v>
      </c>
      <c r="AO996" s="10"/>
      <c r="AP996" s="10"/>
      <c r="AQ996" s="10"/>
      <c r="AR996" s="10"/>
      <c r="AS996" s="10"/>
      <c r="AT996" s="10"/>
      <c r="AU996" s="10"/>
      <c r="AV996" s="10"/>
      <c r="AW996" s="10" t="s">
        <v>108</v>
      </c>
      <c r="AX996" s="10">
        <v>25</v>
      </c>
      <c r="AY996" s="10" t="s">
        <v>2057</v>
      </c>
      <c r="AZ996" s="10" t="s">
        <v>109</v>
      </c>
      <c r="BA996" s="10" t="s">
        <v>2092</v>
      </c>
      <c r="BB996" s="10">
        <v>26</v>
      </c>
      <c r="BC996" s="10">
        <v>30</v>
      </c>
      <c r="BD996" s="10"/>
      <c r="BE996" s="10" t="s">
        <v>139</v>
      </c>
      <c r="BF996" s="10">
        <v>14</v>
      </c>
      <c r="BG996" s="10">
        <v>0.3</v>
      </c>
      <c r="BH996" s="10"/>
      <c r="BI996" s="10"/>
      <c r="BJ996" s="10"/>
      <c r="BK996" s="10"/>
      <c r="BL996" s="10"/>
      <c r="BM996" s="10"/>
      <c r="BN996" s="10">
        <v>30</v>
      </c>
      <c r="BO996" s="10"/>
      <c r="BP996" s="10">
        <v>12</v>
      </c>
      <c r="BQ996" s="10"/>
      <c r="BR996" s="10" t="s">
        <v>2120</v>
      </c>
      <c r="BS996" s="10"/>
      <c r="BT996" s="10" t="s">
        <v>2121</v>
      </c>
      <c r="BU996" s="10"/>
      <c r="BV996">
        <v>35.299999999999997</v>
      </c>
      <c r="BW996">
        <v>1.060660172</v>
      </c>
      <c r="BX996">
        <v>2</v>
      </c>
      <c r="BY996">
        <v>37.9</v>
      </c>
      <c r="BZ996">
        <v>0.212132034</v>
      </c>
      <c r="CA996">
        <v>2</v>
      </c>
      <c r="CB996" t="s">
        <v>113</v>
      </c>
      <c r="CC996" t="s">
        <v>2122</v>
      </c>
    </row>
    <row r="997" spans="1:81" x14ac:dyDescent="0.25">
      <c r="A997" s="10" t="s">
        <v>2023</v>
      </c>
      <c r="B997">
        <v>996</v>
      </c>
      <c r="C997" s="10">
        <v>85</v>
      </c>
      <c r="D997" s="10">
        <v>78</v>
      </c>
      <c r="E997" s="10">
        <v>223</v>
      </c>
      <c r="F997" s="10">
        <v>241</v>
      </c>
      <c r="G997" s="10">
        <v>560</v>
      </c>
      <c r="H997" s="10">
        <v>864</v>
      </c>
      <c r="I997" s="10" t="s">
        <v>490</v>
      </c>
      <c r="J997" s="10" t="s">
        <v>691</v>
      </c>
      <c r="K997" s="10"/>
      <c r="L997" s="10"/>
      <c r="M997" s="10" t="s">
        <v>85</v>
      </c>
      <c r="N997" s="10"/>
      <c r="O997" s="10" t="s">
        <v>14</v>
      </c>
      <c r="P997" s="10" t="s">
        <v>2127</v>
      </c>
      <c r="Q997" s="10" t="s">
        <v>2128</v>
      </c>
      <c r="R997" s="10">
        <v>2006</v>
      </c>
      <c r="S997" s="10" t="s">
        <v>146</v>
      </c>
      <c r="T997" s="10"/>
      <c r="U997" s="10" t="s">
        <v>2129</v>
      </c>
      <c r="V997" s="10" t="s">
        <v>2130</v>
      </c>
      <c r="W997" s="10" t="s">
        <v>170</v>
      </c>
      <c r="X997" s="10" t="s">
        <v>965</v>
      </c>
      <c r="Y997" s="10" t="s">
        <v>966</v>
      </c>
      <c r="Z997" s="10" t="s">
        <v>967</v>
      </c>
      <c r="AA997" s="10" t="s">
        <v>968</v>
      </c>
      <c r="AB997" s="10" t="s">
        <v>2131</v>
      </c>
      <c r="AC997" s="10" t="s">
        <v>2132</v>
      </c>
      <c r="AD997" s="10" t="s">
        <v>132</v>
      </c>
      <c r="AE997" s="10" t="s">
        <v>316</v>
      </c>
      <c r="AF997" s="10" t="s">
        <v>260</v>
      </c>
      <c r="AG997" s="10" t="s">
        <v>102</v>
      </c>
      <c r="AH997" s="10" t="s">
        <v>102</v>
      </c>
      <c r="AI997" s="10" t="s">
        <v>134</v>
      </c>
      <c r="AJ997" s="10" t="s">
        <v>2056</v>
      </c>
      <c r="AK997" s="10"/>
      <c r="AL997" s="10"/>
      <c r="AM997" s="10" t="s">
        <v>136</v>
      </c>
      <c r="AN997" s="10" t="s">
        <v>700</v>
      </c>
      <c r="AO997" s="10"/>
      <c r="AP997" s="10"/>
      <c r="AQ997" s="10"/>
      <c r="AR997" s="10"/>
      <c r="AS997" s="10"/>
      <c r="AT997" s="10"/>
      <c r="AU997" s="10"/>
      <c r="AV997" s="10"/>
      <c r="AW997" s="10" t="s">
        <v>108</v>
      </c>
      <c r="AX997" s="10">
        <v>28</v>
      </c>
      <c r="AY997" s="10" t="s">
        <v>2057</v>
      </c>
      <c r="AZ997" s="10" t="s">
        <v>109</v>
      </c>
      <c r="BA997" s="10" t="s">
        <v>2071</v>
      </c>
      <c r="BB997" s="10">
        <v>20</v>
      </c>
      <c r="BC997" s="10">
        <v>23</v>
      </c>
      <c r="BD997" s="10">
        <v>1</v>
      </c>
      <c r="BE997" s="10" t="s">
        <v>111</v>
      </c>
      <c r="BF997" s="10">
        <v>21</v>
      </c>
      <c r="BG997" s="10">
        <v>1</v>
      </c>
      <c r="BH997" s="10"/>
      <c r="BI997" s="10"/>
      <c r="BJ997" s="10"/>
      <c r="BK997" s="10"/>
      <c r="BL997" s="10"/>
      <c r="BM997" s="10"/>
      <c r="BN997" s="10">
        <v>10</v>
      </c>
      <c r="BO997" s="10"/>
      <c r="BP997" s="10">
        <v>12</v>
      </c>
      <c r="BQ997" s="10"/>
      <c r="BR997" s="10" t="s">
        <v>2120</v>
      </c>
      <c r="BS997" s="10"/>
      <c r="BT997" s="10" t="s">
        <v>2133</v>
      </c>
      <c r="BU997" s="10"/>
      <c r="BV997">
        <v>35.369999999999997</v>
      </c>
      <c r="BW997">
        <v>1.1408510089999999</v>
      </c>
      <c r="BX997">
        <v>20</v>
      </c>
      <c r="BY997">
        <v>39</v>
      </c>
      <c r="BZ997" t="s">
        <v>454</v>
      </c>
      <c r="CA997">
        <v>20</v>
      </c>
      <c r="CB997" t="s">
        <v>113</v>
      </c>
      <c r="CC997" t="s">
        <v>2134</v>
      </c>
    </row>
    <row r="998" spans="1:81" x14ac:dyDescent="0.25">
      <c r="A998" s="10" t="s">
        <v>2023</v>
      </c>
      <c r="B998">
        <v>997</v>
      </c>
      <c r="C998" s="10">
        <v>85</v>
      </c>
      <c r="D998" s="10">
        <v>78</v>
      </c>
      <c r="E998" s="10">
        <v>223</v>
      </c>
      <c r="F998" s="10">
        <v>241</v>
      </c>
      <c r="G998" s="10">
        <v>560</v>
      </c>
      <c r="H998" s="10">
        <v>865</v>
      </c>
      <c r="I998" s="10" t="s">
        <v>490</v>
      </c>
      <c r="J998" s="10" t="s">
        <v>691</v>
      </c>
      <c r="K998" s="10"/>
      <c r="L998" s="10"/>
      <c r="M998" s="10" t="s">
        <v>85</v>
      </c>
      <c r="N998" s="10"/>
      <c r="O998" s="10" t="s">
        <v>14</v>
      </c>
      <c r="P998" s="10" t="s">
        <v>2127</v>
      </c>
      <c r="Q998" s="10" t="s">
        <v>2128</v>
      </c>
      <c r="R998" s="10">
        <v>2006</v>
      </c>
      <c r="S998" s="10" t="s">
        <v>146</v>
      </c>
      <c r="T998" s="10"/>
      <c r="U998" s="10" t="s">
        <v>2129</v>
      </c>
      <c r="V998" s="10" t="s">
        <v>2130</v>
      </c>
      <c r="W998" s="10" t="s">
        <v>170</v>
      </c>
      <c r="X998" s="10" t="s">
        <v>965</v>
      </c>
      <c r="Y998" s="10" t="s">
        <v>966</v>
      </c>
      <c r="Z998" s="10" t="s">
        <v>967</v>
      </c>
      <c r="AA998" s="10" t="s">
        <v>968</v>
      </c>
      <c r="AB998" s="10" t="s">
        <v>2131</v>
      </c>
      <c r="AC998" s="10" t="s">
        <v>2132</v>
      </c>
      <c r="AD998" s="10" t="s">
        <v>132</v>
      </c>
      <c r="AE998" s="10" t="s">
        <v>316</v>
      </c>
      <c r="AF998" s="10" t="s">
        <v>260</v>
      </c>
      <c r="AG998" s="10" t="s">
        <v>102</v>
      </c>
      <c r="AH998" s="10" t="s">
        <v>102</v>
      </c>
      <c r="AI998" s="10" t="s">
        <v>134</v>
      </c>
      <c r="AJ998" s="10" t="s">
        <v>2056</v>
      </c>
      <c r="AK998" s="10"/>
      <c r="AL998" s="10"/>
      <c r="AM998" s="10" t="s">
        <v>136</v>
      </c>
      <c r="AN998" s="10" t="s">
        <v>700</v>
      </c>
      <c r="AO998" s="10"/>
      <c r="AP998" s="10"/>
      <c r="AQ998" s="10"/>
      <c r="AR998" s="10"/>
      <c r="AS998" s="10"/>
      <c r="AT998" s="10"/>
      <c r="AU998" s="10"/>
      <c r="AV998" s="10"/>
      <c r="AW998" s="10" t="s">
        <v>108</v>
      </c>
      <c r="AX998" s="10">
        <v>28</v>
      </c>
      <c r="AY998" s="10" t="s">
        <v>2057</v>
      </c>
      <c r="AZ998" s="10" t="s">
        <v>109</v>
      </c>
      <c r="BA998" s="10" t="s">
        <v>2071</v>
      </c>
      <c r="BB998" s="10">
        <v>23</v>
      </c>
      <c r="BC998" s="10">
        <v>25</v>
      </c>
      <c r="BD998" s="10">
        <v>1</v>
      </c>
      <c r="BE998" s="10" t="s">
        <v>111</v>
      </c>
      <c r="BF998" s="10">
        <v>21</v>
      </c>
      <c r="BG998" s="10">
        <v>1</v>
      </c>
      <c r="BH998" s="10"/>
      <c r="BI998" s="10"/>
      <c r="BJ998" s="10"/>
      <c r="BK998" s="10"/>
      <c r="BL998" s="10"/>
      <c r="BM998" s="10"/>
      <c r="BN998" s="10">
        <v>10</v>
      </c>
      <c r="BO998" s="10"/>
      <c r="BP998" s="10">
        <v>12</v>
      </c>
      <c r="BQ998" s="10"/>
      <c r="BR998" s="10" t="s">
        <v>2120</v>
      </c>
      <c r="BS998" s="10"/>
      <c r="BT998" s="10" t="s">
        <v>2133</v>
      </c>
      <c r="BU998" s="10"/>
      <c r="BV998">
        <v>39</v>
      </c>
      <c r="BW998" t="s">
        <v>454</v>
      </c>
      <c r="BX998">
        <v>20</v>
      </c>
      <c r="BY998">
        <v>39.42</v>
      </c>
      <c r="BZ998">
        <v>1.825361614</v>
      </c>
      <c r="CA998">
        <v>20</v>
      </c>
      <c r="CB998" t="s">
        <v>113</v>
      </c>
      <c r="CC998" t="s">
        <v>2134</v>
      </c>
    </row>
    <row r="999" spans="1:81" x14ac:dyDescent="0.25">
      <c r="A999" s="10" t="s">
        <v>2023</v>
      </c>
      <c r="B999">
        <v>998</v>
      </c>
      <c r="C999" s="10">
        <v>85</v>
      </c>
      <c r="D999" s="10">
        <v>78</v>
      </c>
      <c r="E999" s="10">
        <v>223</v>
      </c>
      <c r="F999" s="10">
        <v>241</v>
      </c>
      <c r="G999" s="10">
        <v>560</v>
      </c>
      <c r="H999" s="10">
        <v>866</v>
      </c>
      <c r="I999" s="10" t="s">
        <v>490</v>
      </c>
      <c r="J999" s="10" t="s">
        <v>691</v>
      </c>
      <c r="K999" s="10"/>
      <c r="L999" s="10"/>
      <c r="M999" s="10" t="s">
        <v>85</v>
      </c>
      <c r="N999" s="10"/>
      <c r="O999" s="10" t="s">
        <v>14</v>
      </c>
      <c r="P999" s="10" t="s">
        <v>2127</v>
      </c>
      <c r="Q999" s="10" t="s">
        <v>2128</v>
      </c>
      <c r="R999" s="10">
        <v>2006</v>
      </c>
      <c r="S999" s="10" t="s">
        <v>146</v>
      </c>
      <c r="T999" s="10"/>
      <c r="U999" s="10" t="s">
        <v>2129</v>
      </c>
      <c r="V999" s="10" t="s">
        <v>2130</v>
      </c>
      <c r="W999" s="10" t="s">
        <v>170</v>
      </c>
      <c r="X999" s="10" t="s">
        <v>965</v>
      </c>
      <c r="Y999" s="10" t="s">
        <v>966</v>
      </c>
      <c r="Z999" s="10" t="s">
        <v>967</v>
      </c>
      <c r="AA999" s="10" t="s">
        <v>968</v>
      </c>
      <c r="AB999" s="10" t="s">
        <v>2131</v>
      </c>
      <c r="AC999" s="10" t="s">
        <v>2132</v>
      </c>
      <c r="AD999" s="10" t="s">
        <v>132</v>
      </c>
      <c r="AE999" s="10" t="s">
        <v>316</v>
      </c>
      <c r="AF999" s="10" t="s">
        <v>260</v>
      </c>
      <c r="AG999" s="10" t="s">
        <v>102</v>
      </c>
      <c r="AH999" s="10" t="s">
        <v>102</v>
      </c>
      <c r="AI999" s="10" t="s">
        <v>134</v>
      </c>
      <c r="AJ999" s="10" t="s">
        <v>2056</v>
      </c>
      <c r="AK999" s="10"/>
      <c r="AL999" s="10"/>
      <c r="AM999" s="10" t="s">
        <v>136</v>
      </c>
      <c r="AN999" s="10" t="s">
        <v>700</v>
      </c>
      <c r="AO999" s="10"/>
      <c r="AP999" s="10"/>
      <c r="AQ999" s="10"/>
      <c r="AR999" s="10"/>
      <c r="AS999" s="10"/>
      <c r="AT999" s="10"/>
      <c r="AU999" s="10"/>
      <c r="AV999" s="10"/>
      <c r="AW999" s="10" t="s">
        <v>108</v>
      </c>
      <c r="AX999" s="10">
        <v>28</v>
      </c>
      <c r="AY999" s="10" t="s">
        <v>2057</v>
      </c>
      <c r="AZ999" s="10" t="s">
        <v>109</v>
      </c>
      <c r="BA999" s="10" t="s">
        <v>2071</v>
      </c>
      <c r="BB999" s="10">
        <v>25</v>
      </c>
      <c r="BC999" s="10">
        <v>28</v>
      </c>
      <c r="BD999" s="10">
        <v>1</v>
      </c>
      <c r="BE999" s="10" t="s">
        <v>111</v>
      </c>
      <c r="BF999" s="10">
        <v>21</v>
      </c>
      <c r="BG999" s="10">
        <v>1</v>
      </c>
      <c r="BH999" s="10"/>
      <c r="BI999" s="10"/>
      <c r="BJ999" s="10"/>
      <c r="BK999" s="10"/>
      <c r="BL999" s="10"/>
      <c r="BM999" s="10"/>
      <c r="BN999" s="10">
        <v>10</v>
      </c>
      <c r="BO999" s="10"/>
      <c r="BP999" s="10">
        <v>12</v>
      </c>
      <c r="BQ999" s="10"/>
      <c r="BR999" s="10" t="s">
        <v>2120</v>
      </c>
      <c r="BS999" s="10"/>
      <c r="BT999" s="10"/>
      <c r="BU999" s="10"/>
      <c r="BV999">
        <v>39.42</v>
      </c>
      <c r="BW999">
        <v>1.825361614</v>
      </c>
      <c r="BX999">
        <v>20</v>
      </c>
      <c r="BY999">
        <v>40.18</v>
      </c>
      <c r="BZ999">
        <v>2.053531816</v>
      </c>
      <c r="CA999">
        <v>20</v>
      </c>
      <c r="CB999" t="s">
        <v>113</v>
      </c>
      <c r="CC999" t="s">
        <v>2135</v>
      </c>
    </row>
    <row r="1000" spans="1:81" x14ac:dyDescent="0.25">
      <c r="A1000" s="10" t="s">
        <v>2023</v>
      </c>
      <c r="B1000">
        <v>999</v>
      </c>
      <c r="C1000" s="10">
        <v>85</v>
      </c>
      <c r="D1000" s="10">
        <v>78</v>
      </c>
      <c r="E1000" s="10">
        <v>223</v>
      </c>
      <c r="F1000" s="10">
        <v>241</v>
      </c>
      <c r="G1000" s="10">
        <v>560</v>
      </c>
      <c r="H1000" s="10">
        <v>867</v>
      </c>
      <c r="I1000" s="10" t="s">
        <v>490</v>
      </c>
      <c r="J1000" s="10" t="s">
        <v>691</v>
      </c>
      <c r="K1000" s="10"/>
      <c r="L1000" s="10"/>
      <c r="M1000" s="10" t="s">
        <v>85</v>
      </c>
      <c r="N1000" s="10"/>
      <c r="O1000" s="10" t="s">
        <v>14</v>
      </c>
      <c r="P1000" s="10" t="s">
        <v>2127</v>
      </c>
      <c r="Q1000" s="10" t="s">
        <v>2128</v>
      </c>
      <c r="R1000" s="10">
        <v>2006</v>
      </c>
      <c r="S1000" s="10" t="s">
        <v>146</v>
      </c>
      <c r="T1000" s="10"/>
      <c r="U1000" s="10" t="s">
        <v>2129</v>
      </c>
      <c r="V1000" s="10" t="s">
        <v>2130</v>
      </c>
      <c r="W1000" s="10" t="s">
        <v>170</v>
      </c>
      <c r="X1000" s="10" t="s">
        <v>965</v>
      </c>
      <c r="Y1000" s="10" t="s">
        <v>966</v>
      </c>
      <c r="Z1000" s="10" t="s">
        <v>967</v>
      </c>
      <c r="AA1000" s="10" t="s">
        <v>968</v>
      </c>
      <c r="AB1000" s="10" t="s">
        <v>2131</v>
      </c>
      <c r="AC1000" s="10" t="s">
        <v>2132</v>
      </c>
      <c r="AD1000" s="10" t="s">
        <v>132</v>
      </c>
      <c r="AE1000" s="10" t="s">
        <v>316</v>
      </c>
      <c r="AF1000" s="10" t="s">
        <v>260</v>
      </c>
      <c r="AG1000" s="10" t="s">
        <v>102</v>
      </c>
      <c r="AH1000" s="10" t="s">
        <v>102</v>
      </c>
      <c r="AI1000" s="10" t="s">
        <v>134</v>
      </c>
      <c r="AJ1000" s="10" t="s">
        <v>2056</v>
      </c>
      <c r="AK1000" s="10"/>
      <c r="AL1000" s="10"/>
      <c r="AM1000" s="10" t="s">
        <v>136</v>
      </c>
      <c r="AN1000" s="10" t="s">
        <v>700</v>
      </c>
      <c r="AO1000" s="10"/>
      <c r="AP1000" s="10"/>
      <c r="AQ1000" s="10"/>
      <c r="AR1000" s="10"/>
      <c r="AS1000" s="10"/>
      <c r="AT1000" s="10"/>
      <c r="AU1000" s="10"/>
      <c r="AV1000" s="10"/>
      <c r="AW1000" s="10" t="s">
        <v>108</v>
      </c>
      <c r="AX1000" s="10">
        <v>28</v>
      </c>
      <c r="AY1000" s="10" t="s">
        <v>2057</v>
      </c>
      <c r="AZ1000" s="10" t="s">
        <v>109</v>
      </c>
      <c r="BA1000" s="10" t="s">
        <v>2071</v>
      </c>
      <c r="BB1000" s="10">
        <v>28</v>
      </c>
      <c r="BC1000" s="10">
        <v>30</v>
      </c>
      <c r="BD1000" s="10">
        <v>1</v>
      </c>
      <c r="BE1000" s="10" t="s">
        <v>111</v>
      </c>
      <c r="BF1000" s="10">
        <v>21</v>
      </c>
      <c r="BG1000" s="10">
        <v>1</v>
      </c>
      <c r="BH1000" s="10"/>
      <c r="BI1000" s="10"/>
      <c r="BJ1000" s="10"/>
      <c r="BK1000" s="10"/>
      <c r="BL1000" s="10"/>
      <c r="BM1000" s="10"/>
      <c r="BN1000" s="10">
        <v>10</v>
      </c>
      <c r="BO1000" s="10"/>
      <c r="BP1000" s="10">
        <v>12</v>
      </c>
      <c r="BQ1000" s="10"/>
      <c r="BR1000" s="10" t="s">
        <v>2120</v>
      </c>
      <c r="BS1000" s="10"/>
      <c r="BT1000" s="10"/>
      <c r="BU1000" s="10"/>
      <c r="BV1000">
        <v>40.18</v>
      </c>
      <c r="BW1000">
        <v>2.053531816</v>
      </c>
      <c r="BX1000">
        <v>20</v>
      </c>
      <c r="BY1000">
        <v>42.62</v>
      </c>
      <c r="BZ1000">
        <v>1.1408510089999999</v>
      </c>
      <c r="CA1000">
        <v>20</v>
      </c>
      <c r="CB1000" t="s">
        <v>113</v>
      </c>
      <c r="CC1000" t="s">
        <v>2135</v>
      </c>
    </row>
    <row r="1001" spans="1:81" x14ac:dyDescent="0.25">
      <c r="A1001" s="10" t="s">
        <v>2023</v>
      </c>
      <c r="B1001">
        <v>1000</v>
      </c>
      <c r="C1001" s="10">
        <v>85</v>
      </c>
      <c r="D1001" s="10">
        <v>78</v>
      </c>
      <c r="E1001" s="10">
        <v>223</v>
      </c>
      <c r="F1001" s="10">
        <v>241</v>
      </c>
      <c r="G1001" s="10">
        <v>560</v>
      </c>
      <c r="H1001" s="10">
        <v>868</v>
      </c>
      <c r="I1001" s="10" t="s">
        <v>490</v>
      </c>
      <c r="J1001" s="10" t="s">
        <v>691</v>
      </c>
      <c r="K1001" s="10"/>
      <c r="L1001" s="10"/>
      <c r="M1001" s="10" t="s">
        <v>85</v>
      </c>
      <c r="N1001" s="10"/>
      <c r="O1001" s="10" t="s">
        <v>14</v>
      </c>
      <c r="P1001" s="10" t="s">
        <v>2127</v>
      </c>
      <c r="Q1001" s="10" t="s">
        <v>2128</v>
      </c>
      <c r="R1001" s="10">
        <v>2006</v>
      </c>
      <c r="S1001" s="10" t="s">
        <v>146</v>
      </c>
      <c r="T1001" s="10"/>
      <c r="U1001" s="10" t="s">
        <v>2129</v>
      </c>
      <c r="V1001" s="10" t="s">
        <v>2130</v>
      </c>
      <c r="W1001" s="10" t="s">
        <v>170</v>
      </c>
      <c r="X1001" s="10" t="s">
        <v>965</v>
      </c>
      <c r="Y1001" s="10" t="s">
        <v>966</v>
      </c>
      <c r="Z1001" s="10" t="s">
        <v>967</v>
      </c>
      <c r="AA1001" s="10" t="s">
        <v>968</v>
      </c>
      <c r="AB1001" s="10" t="s">
        <v>2131</v>
      </c>
      <c r="AC1001" s="10" t="s">
        <v>2132</v>
      </c>
      <c r="AD1001" s="10" t="s">
        <v>132</v>
      </c>
      <c r="AE1001" s="10" t="s">
        <v>316</v>
      </c>
      <c r="AF1001" s="10" t="s">
        <v>260</v>
      </c>
      <c r="AG1001" s="10" t="s">
        <v>102</v>
      </c>
      <c r="AH1001" s="10" t="s">
        <v>102</v>
      </c>
      <c r="AI1001" s="10" t="s">
        <v>134</v>
      </c>
      <c r="AJ1001" s="10" t="s">
        <v>2056</v>
      </c>
      <c r="AK1001" s="10"/>
      <c r="AL1001" s="10"/>
      <c r="AM1001" s="10" t="s">
        <v>136</v>
      </c>
      <c r="AN1001" s="10" t="s">
        <v>700</v>
      </c>
      <c r="AO1001" s="10"/>
      <c r="AP1001" s="10"/>
      <c r="AQ1001" s="10"/>
      <c r="AR1001" s="10"/>
      <c r="AS1001" s="10"/>
      <c r="AT1001" s="10"/>
      <c r="AU1001" s="10"/>
      <c r="AV1001" s="10"/>
      <c r="AW1001" s="10" t="s">
        <v>108</v>
      </c>
      <c r="AX1001" s="10">
        <v>28</v>
      </c>
      <c r="AY1001" s="10" t="s">
        <v>2057</v>
      </c>
      <c r="AZ1001" s="10" t="s">
        <v>109</v>
      </c>
      <c r="BA1001" s="10" t="s">
        <v>2071</v>
      </c>
      <c r="BB1001" s="10">
        <v>30</v>
      </c>
      <c r="BC1001" s="10">
        <v>33</v>
      </c>
      <c r="BD1001" s="10">
        <v>1</v>
      </c>
      <c r="BE1001" s="10" t="s">
        <v>111</v>
      </c>
      <c r="BF1001" s="10">
        <v>21</v>
      </c>
      <c r="BG1001" s="10">
        <v>1</v>
      </c>
      <c r="BH1001" s="10"/>
      <c r="BI1001" s="10"/>
      <c r="BJ1001" s="10"/>
      <c r="BK1001" s="10"/>
      <c r="BL1001" s="10"/>
      <c r="BM1001" s="10"/>
      <c r="BN1001" s="10">
        <v>10</v>
      </c>
      <c r="BO1001" s="10"/>
      <c r="BP1001" s="10">
        <v>12</v>
      </c>
      <c r="BQ1001" s="10"/>
      <c r="BR1001" s="10" t="s">
        <v>2120</v>
      </c>
      <c r="BS1001" s="10"/>
      <c r="BT1001" s="10"/>
      <c r="BU1001" s="10"/>
      <c r="BV1001">
        <v>42.62</v>
      </c>
      <c r="BW1001">
        <v>1.1408510089999999</v>
      </c>
      <c r="BX1001">
        <v>20</v>
      </c>
      <c r="BY1001">
        <v>43.83</v>
      </c>
      <c r="BZ1001">
        <v>0.129072558</v>
      </c>
      <c r="CA1001">
        <v>20</v>
      </c>
      <c r="CB1001" t="s">
        <v>113</v>
      </c>
      <c r="CC1001" t="s">
        <v>2135</v>
      </c>
    </row>
    <row r="1002" spans="1:81" x14ac:dyDescent="0.25">
      <c r="A1002" s="10" t="s">
        <v>2023</v>
      </c>
      <c r="B1002">
        <v>1001</v>
      </c>
      <c r="C1002" s="10">
        <v>85</v>
      </c>
      <c r="D1002" s="10">
        <v>78</v>
      </c>
      <c r="E1002" s="10">
        <v>223</v>
      </c>
      <c r="F1002" s="10">
        <v>241</v>
      </c>
      <c r="G1002" s="10">
        <v>561</v>
      </c>
      <c r="H1002" s="10">
        <v>869</v>
      </c>
      <c r="I1002" s="10" t="s">
        <v>490</v>
      </c>
      <c r="J1002" s="10" t="s">
        <v>691</v>
      </c>
      <c r="K1002" s="10"/>
      <c r="L1002" s="10"/>
      <c r="M1002" s="10" t="s">
        <v>85</v>
      </c>
      <c r="N1002" s="10"/>
      <c r="O1002" s="10" t="s">
        <v>14</v>
      </c>
      <c r="P1002" s="10" t="s">
        <v>2127</v>
      </c>
      <c r="Q1002" s="10" t="s">
        <v>2128</v>
      </c>
      <c r="R1002" s="10">
        <v>2006</v>
      </c>
      <c r="S1002" s="10" t="s">
        <v>146</v>
      </c>
      <c r="T1002" s="10"/>
      <c r="U1002" s="10" t="s">
        <v>2129</v>
      </c>
      <c r="V1002" s="10" t="s">
        <v>2130</v>
      </c>
      <c r="W1002" s="10" t="s">
        <v>170</v>
      </c>
      <c r="X1002" s="10" t="s">
        <v>965</v>
      </c>
      <c r="Y1002" s="10" t="s">
        <v>966</v>
      </c>
      <c r="Z1002" s="10" t="s">
        <v>967</v>
      </c>
      <c r="AA1002" s="10" t="s">
        <v>968</v>
      </c>
      <c r="AB1002" s="10" t="s">
        <v>2131</v>
      </c>
      <c r="AC1002" s="10" t="s">
        <v>2132</v>
      </c>
      <c r="AD1002" s="10" t="s">
        <v>132</v>
      </c>
      <c r="AE1002" s="10" t="s">
        <v>316</v>
      </c>
      <c r="AF1002" s="10" t="s">
        <v>260</v>
      </c>
      <c r="AG1002" s="10" t="s">
        <v>102</v>
      </c>
      <c r="AH1002" s="10" t="s">
        <v>102</v>
      </c>
      <c r="AI1002" s="10" t="s">
        <v>134</v>
      </c>
      <c r="AJ1002" s="10" t="s">
        <v>2056</v>
      </c>
      <c r="AK1002" s="10"/>
      <c r="AL1002" s="10"/>
      <c r="AM1002" s="10" t="s">
        <v>136</v>
      </c>
      <c r="AN1002" s="10" t="s">
        <v>700</v>
      </c>
      <c r="AO1002" s="10"/>
      <c r="AP1002" s="10"/>
      <c r="AQ1002" s="10"/>
      <c r="AR1002" s="10"/>
      <c r="AS1002" s="10"/>
      <c r="AT1002" s="10"/>
      <c r="AU1002" s="10"/>
      <c r="AV1002" s="10"/>
      <c r="AW1002" s="10" t="s">
        <v>108</v>
      </c>
      <c r="AX1002" s="10">
        <v>28</v>
      </c>
      <c r="AY1002" s="10" t="s">
        <v>2057</v>
      </c>
      <c r="AZ1002" s="10" t="s">
        <v>109</v>
      </c>
      <c r="BA1002" s="10" t="s">
        <v>2071</v>
      </c>
      <c r="BB1002" s="10">
        <v>20</v>
      </c>
      <c r="BC1002" s="10">
        <v>23</v>
      </c>
      <c r="BD1002" s="10">
        <v>1</v>
      </c>
      <c r="BE1002" s="10" t="s">
        <v>111</v>
      </c>
      <c r="BF1002" s="10">
        <v>21</v>
      </c>
      <c r="BG1002" s="10">
        <v>1</v>
      </c>
      <c r="BH1002" s="10"/>
      <c r="BI1002" s="10"/>
      <c r="BJ1002" s="10"/>
      <c r="BK1002" s="10"/>
      <c r="BL1002" s="10"/>
      <c r="BM1002" s="10"/>
      <c r="BN1002" s="10">
        <v>15</v>
      </c>
      <c r="BO1002" s="10"/>
      <c r="BP1002" s="10">
        <v>12</v>
      </c>
      <c r="BQ1002" s="10"/>
      <c r="BR1002" s="10" t="s">
        <v>2120</v>
      </c>
      <c r="BS1002" s="10"/>
      <c r="BT1002" s="10" t="s">
        <v>2136</v>
      </c>
      <c r="BU1002" s="10"/>
      <c r="BV1002">
        <v>35.57</v>
      </c>
      <c r="BW1002">
        <v>1.5971914119999999</v>
      </c>
      <c r="BX1002">
        <v>20</v>
      </c>
      <c r="BY1002">
        <v>39</v>
      </c>
      <c r="BZ1002" t="s">
        <v>454</v>
      </c>
      <c r="CA1002">
        <v>20</v>
      </c>
      <c r="CB1002" t="s">
        <v>113</v>
      </c>
      <c r="CC1002" t="s">
        <v>2134</v>
      </c>
    </row>
    <row r="1003" spans="1:81" x14ac:dyDescent="0.25">
      <c r="A1003" s="10" t="s">
        <v>2023</v>
      </c>
      <c r="B1003">
        <v>1002</v>
      </c>
      <c r="C1003" s="10">
        <v>85</v>
      </c>
      <c r="D1003" s="10">
        <v>78</v>
      </c>
      <c r="E1003" s="10">
        <v>223</v>
      </c>
      <c r="F1003" s="10">
        <v>241</v>
      </c>
      <c r="G1003" s="10">
        <v>561</v>
      </c>
      <c r="H1003" s="10">
        <v>870</v>
      </c>
      <c r="I1003" s="10" t="s">
        <v>490</v>
      </c>
      <c r="J1003" s="10" t="s">
        <v>691</v>
      </c>
      <c r="K1003" s="10"/>
      <c r="L1003" s="10"/>
      <c r="M1003" s="10" t="s">
        <v>85</v>
      </c>
      <c r="N1003" s="10"/>
      <c r="O1003" s="10" t="s">
        <v>14</v>
      </c>
      <c r="P1003" s="10" t="s">
        <v>2127</v>
      </c>
      <c r="Q1003" s="10" t="s">
        <v>2128</v>
      </c>
      <c r="R1003" s="10">
        <v>2006</v>
      </c>
      <c r="S1003" s="10" t="s">
        <v>146</v>
      </c>
      <c r="T1003" s="10"/>
      <c r="U1003" s="10" t="s">
        <v>2129</v>
      </c>
      <c r="V1003" s="10" t="s">
        <v>2130</v>
      </c>
      <c r="W1003" s="10" t="s">
        <v>170</v>
      </c>
      <c r="X1003" s="10" t="s">
        <v>965</v>
      </c>
      <c r="Y1003" s="10" t="s">
        <v>966</v>
      </c>
      <c r="Z1003" s="10" t="s">
        <v>967</v>
      </c>
      <c r="AA1003" s="10" t="s">
        <v>968</v>
      </c>
      <c r="AB1003" s="10" t="s">
        <v>2131</v>
      </c>
      <c r="AC1003" s="10" t="s">
        <v>2132</v>
      </c>
      <c r="AD1003" s="10" t="s">
        <v>132</v>
      </c>
      <c r="AE1003" s="10" t="s">
        <v>316</v>
      </c>
      <c r="AF1003" s="10" t="s">
        <v>260</v>
      </c>
      <c r="AG1003" s="10" t="s">
        <v>102</v>
      </c>
      <c r="AH1003" s="10" t="s">
        <v>102</v>
      </c>
      <c r="AI1003" s="10" t="s">
        <v>134</v>
      </c>
      <c r="AJ1003" s="10" t="s">
        <v>2056</v>
      </c>
      <c r="AK1003" s="10"/>
      <c r="AL1003" s="10"/>
      <c r="AM1003" s="10" t="s">
        <v>136</v>
      </c>
      <c r="AN1003" s="10" t="s">
        <v>700</v>
      </c>
      <c r="AO1003" s="10"/>
      <c r="AP1003" s="10"/>
      <c r="AQ1003" s="10"/>
      <c r="AR1003" s="10"/>
      <c r="AS1003" s="10"/>
      <c r="AT1003" s="10"/>
      <c r="AU1003" s="10"/>
      <c r="AV1003" s="10"/>
      <c r="AW1003" s="10" t="s">
        <v>108</v>
      </c>
      <c r="AX1003" s="10">
        <v>28</v>
      </c>
      <c r="AY1003" s="10" t="s">
        <v>2057</v>
      </c>
      <c r="AZ1003" s="10" t="s">
        <v>109</v>
      </c>
      <c r="BA1003" s="10" t="s">
        <v>2071</v>
      </c>
      <c r="BB1003" s="10">
        <v>23</v>
      </c>
      <c r="BC1003" s="10">
        <v>25</v>
      </c>
      <c r="BD1003" s="10">
        <v>1</v>
      </c>
      <c r="BE1003" s="10" t="s">
        <v>111</v>
      </c>
      <c r="BF1003" s="10">
        <v>21</v>
      </c>
      <c r="BG1003" s="10">
        <v>1</v>
      </c>
      <c r="BH1003" s="10"/>
      <c r="BI1003" s="10"/>
      <c r="BJ1003" s="10"/>
      <c r="BK1003" s="10"/>
      <c r="BL1003" s="10"/>
      <c r="BM1003" s="10"/>
      <c r="BN1003" s="10">
        <v>15</v>
      </c>
      <c r="BO1003" s="10"/>
      <c r="BP1003" s="10">
        <v>12</v>
      </c>
      <c r="BQ1003" s="10"/>
      <c r="BR1003" s="10" t="s">
        <v>2120</v>
      </c>
      <c r="BS1003" s="10"/>
      <c r="BT1003" s="10" t="s">
        <v>2136</v>
      </c>
      <c r="BU1003" s="10"/>
      <c r="BV1003">
        <v>39</v>
      </c>
      <c r="BW1003" t="s">
        <v>454</v>
      </c>
      <c r="BX1003">
        <v>20</v>
      </c>
      <c r="BY1003">
        <v>39.08</v>
      </c>
      <c r="BZ1003">
        <v>1.5971914119999999</v>
      </c>
      <c r="CA1003">
        <v>20</v>
      </c>
      <c r="CB1003" t="s">
        <v>113</v>
      </c>
      <c r="CC1003" t="s">
        <v>2134</v>
      </c>
    </row>
    <row r="1004" spans="1:81" x14ac:dyDescent="0.25">
      <c r="A1004" s="10" t="s">
        <v>2023</v>
      </c>
      <c r="B1004">
        <v>1003</v>
      </c>
      <c r="C1004" s="10">
        <v>85</v>
      </c>
      <c r="D1004" s="10">
        <v>78</v>
      </c>
      <c r="E1004" s="10">
        <v>223</v>
      </c>
      <c r="F1004" s="10">
        <v>241</v>
      </c>
      <c r="G1004" s="10">
        <v>561</v>
      </c>
      <c r="H1004" s="10">
        <v>871</v>
      </c>
      <c r="I1004" s="10" t="s">
        <v>490</v>
      </c>
      <c r="J1004" s="10" t="s">
        <v>691</v>
      </c>
      <c r="K1004" s="10"/>
      <c r="L1004" s="10"/>
      <c r="M1004" s="10" t="s">
        <v>85</v>
      </c>
      <c r="N1004" s="10"/>
      <c r="O1004" s="10" t="s">
        <v>14</v>
      </c>
      <c r="P1004" s="10" t="s">
        <v>2127</v>
      </c>
      <c r="Q1004" s="10" t="s">
        <v>2128</v>
      </c>
      <c r="R1004" s="10">
        <v>2006</v>
      </c>
      <c r="S1004" s="10" t="s">
        <v>146</v>
      </c>
      <c r="T1004" s="10"/>
      <c r="U1004" s="10" t="s">
        <v>2129</v>
      </c>
      <c r="V1004" s="10" t="s">
        <v>2130</v>
      </c>
      <c r="W1004" s="10" t="s">
        <v>170</v>
      </c>
      <c r="X1004" s="10" t="s">
        <v>965</v>
      </c>
      <c r="Y1004" s="10" t="s">
        <v>966</v>
      </c>
      <c r="Z1004" s="10" t="s">
        <v>967</v>
      </c>
      <c r="AA1004" s="10" t="s">
        <v>968</v>
      </c>
      <c r="AB1004" s="10" t="s">
        <v>2131</v>
      </c>
      <c r="AC1004" s="10" t="s">
        <v>2132</v>
      </c>
      <c r="AD1004" s="10" t="s">
        <v>132</v>
      </c>
      <c r="AE1004" s="10" t="s">
        <v>316</v>
      </c>
      <c r="AF1004" s="10" t="s">
        <v>260</v>
      </c>
      <c r="AG1004" s="10" t="s">
        <v>102</v>
      </c>
      <c r="AH1004" s="10" t="s">
        <v>102</v>
      </c>
      <c r="AI1004" s="10" t="s">
        <v>134</v>
      </c>
      <c r="AJ1004" s="10" t="s">
        <v>2056</v>
      </c>
      <c r="AK1004" s="10"/>
      <c r="AL1004" s="10"/>
      <c r="AM1004" s="10" t="s">
        <v>136</v>
      </c>
      <c r="AN1004" s="10" t="s">
        <v>700</v>
      </c>
      <c r="AO1004" s="10"/>
      <c r="AP1004" s="10"/>
      <c r="AQ1004" s="10"/>
      <c r="AR1004" s="10"/>
      <c r="AS1004" s="10"/>
      <c r="AT1004" s="10"/>
      <c r="AU1004" s="10"/>
      <c r="AV1004" s="10"/>
      <c r="AW1004" s="10" t="s">
        <v>108</v>
      </c>
      <c r="AX1004" s="10">
        <v>28</v>
      </c>
      <c r="AY1004" s="10" t="s">
        <v>2057</v>
      </c>
      <c r="AZ1004" s="10" t="s">
        <v>109</v>
      </c>
      <c r="BA1004" s="10" t="s">
        <v>2071</v>
      </c>
      <c r="BB1004" s="10">
        <v>25</v>
      </c>
      <c r="BC1004" s="10">
        <v>28</v>
      </c>
      <c r="BD1004" s="10">
        <v>1</v>
      </c>
      <c r="BE1004" s="10" t="s">
        <v>111</v>
      </c>
      <c r="BF1004" s="10">
        <v>21</v>
      </c>
      <c r="BG1004" s="10">
        <v>1</v>
      </c>
      <c r="BH1004" s="10"/>
      <c r="BI1004" s="10"/>
      <c r="BJ1004" s="10"/>
      <c r="BK1004" s="10"/>
      <c r="BL1004" s="10"/>
      <c r="BM1004" s="10"/>
      <c r="BN1004" s="10">
        <v>15</v>
      </c>
      <c r="BO1004" s="10"/>
      <c r="BP1004" s="10">
        <v>12</v>
      </c>
      <c r="BQ1004" s="10"/>
      <c r="BR1004" s="10" t="s">
        <v>2120</v>
      </c>
      <c r="BS1004" s="10"/>
      <c r="BT1004" s="10" t="s">
        <v>2136</v>
      </c>
      <c r="BU1004" s="10"/>
      <c r="BV1004">
        <v>39.08</v>
      </c>
      <c r="BW1004">
        <v>1.5971914119999999</v>
      </c>
      <c r="BX1004">
        <v>20</v>
      </c>
      <c r="BY1004">
        <v>41</v>
      </c>
      <c r="BZ1004" t="s">
        <v>454</v>
      </c>
      <c r="CA1004">
        <v>20</v>
      </c>
      <c r="CB1004" t="s">
        <v>113</v>
      </c>
      <c r="CC1004" t="s">
        <v>2134</v>
      </c>
    </row>
    <row r="1005" spans="1:81" x14ac:dyDescent="0.25">
      <c r="A1005" s="10" t="s">
        <v>2023</v>
      </c>
      <c r="B1005">
        <v>1004</v>
      </c>
      <c r="C1005" s="10">
        <v>85</v>
      </c>
      <c r="D1005" s="10">
        <v>78</v>
      </c>
      <c r="E1005" s="10">
        <v>223</v>
      </c>
      <c r="F1005" s="10">
        <v>241</v>
      </c>
      <c r="G1005" s="10">
        <v>561</v>
      </c>
      <c r="H1005" s="10">
        <v>872</v>
      </c>
      <c r="I1005" s="10" t="s">
        <v>490</v>
      </c>
      <c r="J1005" s="10" t="s">
        <v>691</v>
      </c>
      <c r="K1005" s="10"/>
      <c r="L1005" s="10"/>
      <c r="M1005" s="10" t="s">
        <v>85</v>
      </c>
      <c r="N1005" s="10"/>
      <c r="O1005" s="10" t="s">
        <v>14</v>
      </c>
      <c r="P1005" s="10" t="s">
        <v>2127</v>
      </c>
      <c r="Q1005" s="10" t="s">
        <v>2128</v>
      </c>
      <c r="R1005" s="10">
        <v>2006</v>
      </c>
      <c r="S1005" s="10" t="s">
        <v>146</v>
      </c>
      <c r="T1005" s="10"/>
      <c r="U1005" s="10" t="s">
        <v>2129</v>
      </c>
      <c r="V1005" s="10" t="s">
        <v>2130</v>
      </c>
      <c r="W1005" s="10" t="s">
        <v>170</v>
      </c>
      <c r="X1005" s="10" t="s">
        <v>965</v>
      </c>
      <c r="Y1005" s="10" t="s">
        <v>966</v>
      </c>
      <c r="Z1005" s="10" t="s">
        <v>967</v>
      </c>
      <c r="AA1005" s="10" t="s">
        <v>968</v>
      </c>
      <c r="AB1005" s="10" t="s">
        <v>2131</v>
      </c>
      <c r="AC1005" s="10" t="s">
        <v>2132</v>
      </c>
      <c r="AD1005" s="10" t="s">
        <v>132</v>
      </c>
      <c r="AE1005" s="10" t="s">
        <v>316</v>
      </c>
      <c r="AF1005" s="10" t="s">
        <v>260</v>
      </c>
      <c r="AG1005" s="10" t="s">
        <v>102</v>
      </c>
      <c r="AH1005" s="10" t="s">
        <v>102</v>
      </c>
      <c r="AI1005" s="10" t="s">
        <v>134</v>
      </c>
      <c r="AJ1005" s="10" t="s">
        <v>2056</v>
      </c>
      <c r="AK1005" s="10"/>
      <c r="AL1005" s="10"/>
      <c r="AM1005" s="10" t="s">
        <v>136</v>
      </c>
      <c r="AN1005" s="10" t="s">
        <v>700</v>
      </c>
      <c r="AO1005" s="10"/>
      <c r="AP1005" s="10"/>
      <c r="AQ1005" s="10"/>
      <c r="AR1005" s="10"/>
      <c r="AS1005" s="10"/>
      <c r="AT1005" s="10"/>
      <c r="AU1005" s="10"/>
      <c r="AV1005" s="10"/>
      <c r="AW1005" s="10" t="s">
        <v>108</v>
      </c>
      <c r="AX1005" s="10">
        <v>28</v>
      </c>
      <c r="AY1005" s="10" t="s">
        <v>2057</v>
      </c>
      <c r="AZ1005" s="10" t="s">
        <v>109</v>
      </c>
      <c r="BA1005" s="10" t="s">
        <v>2071</v>
      </c>
      <c r="BB1005" s="10">
        <v>28</v>
      </c>
      <c r="BC1005" s="10">
        <v>30</v>
      </c>
      <c r="BD1005" s="10">
        <v>1</v>
      </c>
      <c r="BE1005" s="10" t="s">
        <v>111</v>
      </c>
      <c r="BF1005" s="10">
        <v>21</v>
      </c>
      <c r="BG1005" s="10">
        <v>1</v>
      </c>
      <c r="BH1005" s="10"/>
      <c r="BI1005" s="10"/>
      <c r="BJ1005" s="10"/>
      <c r="BK1005" s="10"/>
      <c r="BL1005" s="10"/>
      <c r="BM1005" s="10"/>
      <c r="BN1005" s="10">
        <v>15</v>
      </c>
      <c r="BO1005" s="10"/>
      <c r="BP1005" s="10">
        <v>12</v>
      </c>
      <c r="BQ1005" s="10"/>
      <c r="BR1005" s="10" t="s">
        <v>2120</v>
      </c>
      <c r="BS1005" s="10"/>
      <c r="BT1005" s="10" t="s">
        <v>2136</v>
      </c>
      <c r="BU1005" s="10"/>
      <c r="BV1005">
        <v>41</v>
      </c>
      <c r="BW1005" t="s">
        <v>454</v>
      </c>
      <c r="BX1005">
        <v>20</v>
      </c>
      <c r="BY1005">
        <v>42</v>
      </c>
      <c r="BZ1005" t="s">
        <v>454</v>
      </c>
      <c r="CA1005">
        <v>20</v>
      </c>
      <c r="CB1005" t="s">
        <v>113</v>
      </c>
      <c r="CC1005" t="s">
        <v>2134</v>
      </c>
    </row>
    <row r="1006" spans="1:81" x14ac:dyDescent="0.25">
      <c r="A1006" s="10" t="s">
        <v>2023</v>
      </c>
      <c r="B1006">
        <v>1005</v>
      </c>
      <c r="C1006" s="10">
        <v>85</v>
      </c>
      <c r="D1006" s="10">
        <v>78</v>
      </c>
      <c r="E1006" s="10">
        <v>223</v>
      </c>
      <c r="F1006" s="10">
        <v>241</v>
      </c>
      <c r="G1006" s="10">
        <v>561</v>
      </c>
      <c r="H1006" s="10">
        <v>873</v>
      </c>
      <c r="I1006" s="10" t="s">
        <v>490</v>
      </c>
      <c r="J1006" s="10" t="s">
        <v>691</v>
      </c>
      <c r="K1006" s="10"/>
      <c r="L1006" s="10"/>
      <c r="M1006" s="10" t="s">
        <v>85</v>
      </c>
      <c r="N1006" s="10"/>
      <c r="O1006" s="10" t="s">
        <v>14</v>
      </c>
      <c r="P1006" s="10" t="s">
        <v>2127</v>
      </c>
      <c r="Q1006" s="10" t="s">
        <v>2128</v>
      </c>
      <c r="R1006" s="10">
        <v>2006</v>
      </c>
      <c r="S1006" s="10" t="s">
        <v>146</v>
      </c>
      <c r="T1006" s="10"/>
      <c r="U1006" s="10" t="s">
        <v>2129</v>
      </c>
      <c r="V1006" s="10" t="s">
        <v>2130</v>
      </c>
      <c r="W1006" s="10" t="s">
        <v>170</v>
      </c>
      <c r="X1006" s="10" t="s">
        <v>965</v>
      </c>
      <c r="Y1006" s="10" t="s">
        <v>966</v>
      </c>
      <c r="Z1006" s="10" t="s">
        <v>967</v>
      </c>
      <c r="AA1006" s="10" t="s">
        <v>968</v>
      </c>
      <c r="AB1006" s="10" t="s">
        <v>2131</v>
      </c>
      <c r="AC1006" s="10" t="s">
        <v>2132</v>
      </c>
      <c r="AD1006" s="10" t="s">
        <v>132</v>
      </c>
      <c r="AE1006" s="10" t="s">
        <v>316</v>
      </c>
      <c r="AF1006" s="10" t="s">
        <v>260</v>
      </c>
      <c r="AG1006" s="10" t="s">
        <v>102</v>
      </c>
      <c r="AH1006" s="10" t="s">
        <v>102</v>
      </c>
      <c r="AI1006" s="10" t="s">
        <v>134</v>
      </c>
      <c r="AJ1006" s="10" t="s">
        <v>2056</v>
      </c>
      <c r="AK1006" s="10"/>
      <c r="AL1006" s="10"/>
      <c r="AM1006" s="10" t="s">
        <v>136</v>
      </c>
      <c r="AN1006" s="10" t="s">
        <v>700</v>
      </c>
      <c r="AO1006" s="10"/>
      <c r="AP1006" s="10"/>
      <c r="AQ1006" s="10"/>
      <c r="AR1006" s="10"/>
      <c r="AS1006" s="10"/>
      <c r="AT1006" s="10"/>
      <c r="AU1006" s="10"/>
      <c r="AV1006" s="10"/>
      <c r="AW1006" s="10" t="s">
        <v>108</v>
      </c>
      <c r="AX1006" s="10">
        <v>28</v>
      </c>
      <c r="AY1006" s="10" t="s">
        <v>2057</v>
      </c>
      <c r="AZ1006" s="10" t="s">
        <v>109</v>
      </c>
      <c r="BA1006" s="10" t="s">
        <v>2071</v>
      </c>
      <c r="BB1006" s="10">
        <v>30</v>
      </c>
      <c r="BC1006" s="10">
        <v>33</v>
      </c>
      <c r="BD1006" s="10">
        <v>1</v>
      </c>
      <c r="BE1006" s="10" t="s">
        <v>111</v>
      </c>
      <c r="BF1006" s="10">
        <v>21</v>
      </c>
      <c r="BG1006" s="10">
        <v>1</v>
      </c>
      <c r="BH1006" s="10"/>
      <c r="BI1006" s="10"/>
      <c r="BJ1006" s="10"/>
      <c r="BK1006" s="10"/>
      <c r="BL1006" s="10"/>
      <c r="BM1006" s="10"/>
      <c r="BN1006" s="10">
        <v>15</v>
      </c>
      <c r="BO1006" s="10"/>
      <c r="BP1006" s="10">
        <v>12</v>
      </c>
      <c r="BQ1006" s="10"/>
      <c r="BR1006" s="10" t="s">
        <v>2120</v>
      </c>
      <c r="BS1006" s="10"/>
      <c r="BT1006" s="10" t="s">
        <v>2136</v>
      </c>
      <c r="BU1006" s="10"/>
      <c r="BV1006">
        <v>42</v>
      </c>
      <c r="BW1006" t="s">
        <v>454</v>
      </c>
      <c r="BX1006">
        <v>20</v>
      </c>
      <c r="BY1006">
        <v>43</v>
      </c>
      <c r="BZ1006" t="s">
        <v>454</v>
      </c>
      <c r="CA1006">
        <v>20</v>
      </c>
      <c r="CB1006" t="s">
        <v>113</v>
      </c>
      <c r="CC1006" t="s">
        <v>2134</v>
      </c>
    </row>
    <row r="1007" spans="1:81" x14ac:dyDescent="0.25">
      <c r="A1007" s="10" t="s">
        <v>2023</v>
      </c>
      <c r="B1007">
        <v>1006</v>
      </c>
      <c r="C1007" s="10">
        <v>85</v>
      </c>
      <c r="D1007" s="10">
        <v>78</v>
      </c>
      <c r="E1007" s="10">
        <v>223</v>
      </c>
      <c r="F1007" s="10">
        <v>241</v>
      </c>
      <c r="G1007" s="10">
        <v>562</v>
      </c>
      <c r="H1007" s="10">
        <v>874</v>
      </c>
      <c r="I1007" s="10" t="s">
        <v>490</v>
      </c>
      <c r="J1007" s="10" t="s">
        <v>691</v>
      </c>
      <c r="K1007" s="10"/>
      <c r="L1007" s="10"/>
      <c r="M1007" s="10" t="s">
        <v>85</v>
      </c>
      <c r="N1007" s="10"/>
      <c r="O1007" s="10" t="s">
        <v>14</v>
      </c>
      <c r="P1007" s="10" t="s">
        <v>2127</v>
      </c>
      <c r="Q1007" s="10" t="s">
        <v>2128</v>
      </c>
      <c r="R1007" s="10">
        <v>2006</v>
      </c>
      <c r="S1007" s="10" t="s">
        <v>146</v>
      </c>
      <c r="T1007" s="10"/>
      <c r="U1007" s="10" t="s">
        <v>2129</v>
      </c>
      <c r="V1007" s="10" t="s">
        <v>2130</v>
      </c>
      <c r="W1007" s="10" t="s">
        <v>170</v>
      </c>
      <c r="X1007" s="10" t="s">
        <v>965</v>
      </c>
      <c r="Y1007" s="10" t="s">
        <v>966</v>
      </c>
      <c r="Z1007" s="10" t="s">
        <v>967</v>
      </c>
      <c r="AA1007" s="10" t="s">
        <v>968</v>
      </c>
      <c r="AB1007" s="10" t="s">
        <v>2131</v>
      </c>
      <c r="AC1007" s="10" t="s">
        <v>2132</v>
      </c>
      <c r="AD1007" s="10" t="s">
        <v>132</v>
      </c>
      <c r="AE1007" s="10" t="s">
        <v>316</v>
      </c>
      <c r="AF1007" s="10" t="s">
        <v>260</v>
      </c>
      <c r="AG1007" s="10" t="s">
        <v>102</v>
      </c>
      <c r="AH1007" s="10" t="s">
        <v>102</v>
      </c>
      <c r="AI1007" s="10" t="s">
        <v>134</v>
      </c>
      <c r="AJ1007" s="10" t="s">
        <v>2056</v>
      </c>
      <c r="AK1007" s="10"/>
      <c r="AL1007" s="10"/>
      <c r="AM1007" s="10" t="s">
        <v>136</v>
      </c>
      <c r="AN1007" s="10" t="s">
        <v>700</v>
      </c>
      <c r="AO1007" s="10"/>
      <c r="AP1007" s="10"/>
      <c r="AQ1007" s="10"/>
      <c r="AR1007" s="10"/>
      <c r="AS1007" s="10"/>
      <c r="AT1007" s="10"/>
      <c r="AU1007" s="10"/>
      <c r="AV1007" s="10"/>
      <c r="AW1007" s="10" t="s">
        <v>108</v>
      </c>
      <c r="AX1007" s="10">
        <v>28</v>
      </c>
      <c r="AY1007" s="10" t="s">
        <v>2057</v>
      </c>
      <c r="AZ1007" s="10" t="s">
        <v>109</v>
      </c>
      <c r="BA1007" s="10" t="s">
        <v>2071</v>
      </c>
      <c r="BB1007" s="10">
        <v>20</v>
      </c>
      <c r="BC1007" s="10">
        <v>23</v>
      </c>
      <c r="BD1007" s="10">
        <v>1</v>
      </c>
      <c r="BE1007" s="10" t="s">
        <v>111</v>
      </c>
      <c r="BF1007" s="10">
        <v>21</v>
      </c>
      <c r="BG1007" s="10">
        <v>1</v>
      </c>
      <c r="BH1007" s="10"/>
      <c r="BI1007" s="10"/>
      <c r="BJ1007" s="10"/>
      <c r="BK1007" s="10"/>
      <c r="BL1007" s="10"/>
      <c r="BM1007" s="10"/>
      <c r="BN1007" s="10">
        <v>20</v>
      </c>
      <c r="BO1007" s="10"/>
      <c r="BP1007" s="10">
        <v>12</v>
      </c>
      <c r="BQ1007" s="10"/>
      <c r="BR1007" s="10" t="s">
        <v>2120</v>
      </c>
      <c r="BS1007" s="10"/>
      <c r="BT1007" s="10"/>
      <c r="BU1007" s="10"/>
      <c r="BV1007">
        <v>36.94</v>
      </c>
      <c r="BW1007">
        <v>1.369021211</v>
      </c>
      <c r="BX1007">
        <v>20</v>
      </c>
      <c r="BY1007">
        <v>38.520000000000003</v>
      </c>
      <c r="BZ1007">
        <v>1.1408510089999999</v>
      </c>
      <c r="CA1007">
        <v>20</v>
      </c>
      <c r="CB1007" t="s">
        <v>113</v>
      </c>
      <c r="CC1007" t="s">
        <v>2135</v>
      </c>
    </row>
    <row r="1008" spans="1:81" x14ac:dyDescent="0.25">
      <c r="A1008" s="10" t="s">
        <v>2023</v>
      </c>
      <c r="B1008">
        <v>1007</v>
      </c>
      <c r="C1008" s="10">
        <v>85</v>
      </c>
      <c r="D1008" s="10">
        <v>78</v>
      </c>
      <c r="E1008" s="10">
        <v>223</v>
      </c>
      <c r="F1008" s="10">
        <v>241</v>
      </c>
      <c r="G1008" s="10">
        <v>562</v>
      </c>
      <c r="H1008" s="10">
        <v>875</v>
      </c>
      <c r="I1008" s="10" t="s">
        <v>490</v>
      </c>
      <c r="J1008" s="10" t="s">
        <v>691</v>
      </c>
      <c r="K1008" s="10"/>
      <c r="L1008" s="10"/>
      <c r="M1008" s="10" t="s">
        <v>85</v>
      </c>
      <c r="N1008" s="10"/>
      <c r="O1008" s="10" t="s">
        <v>14</v>
      </c>
      <c r="P1008" s="10" t="s">
        <v>2127</v>
      </c>
      <c r="Q1008" s="10" t="s">
        <v>2128</v>
      </c>
      <c r="R1008" s="10">
        <v>2006</v>
      </c>
      <c r="S1008" s="10" t="s">
        <v>146</v>
      </c>
      <c r="T1008" s="10"/>
      <c r="U1008" s="10" t="s">
        <v>2129</v>
      </c>
      <c r="V1008" s="10" t="s">
        <v>2130</v>
      </c>
      <c r="W1008" s="10" t="s">
        <v>170</v>
      </c>
      <c r="X1008" s="10" t="s">
        <v>965</v>
      </c>
      <c r="Y1008" s="10" t="s">
        <v>966</v>
      </c>
      <c r="Z1008" s="10" t="s">
        <v>967</v>
      </c>
      <c r="AA1008" s="10" t="s">
        <v>968</v>
      </c>
      <c r="AB1008" s="10" t="s">
        <v>2131</v>
      </c>
      <c r="AC1008" s="10" t="s">
        <v>2132</v>
      </c>
      <c r="AD1008" s="10" t="s">
        <v>132</v>
      </c>
      <c r="AE1008" s="10" t="s">
        <v>316</v>
      </c>
      <c r="AF1008" s="10" t="s">
        <v>260</v>
      </c>
      <c r="AG1008" s="10" t="s">
        <v>102</v>
      </c>
      <c r="AH1008" s="10" t="s">
        <v>102</v>
      </c>
      <c r="AI1008" s="10" t="s">
        <v>134</v>
      </c>
      <c r="AJ1008" s="10" t="s">
        <v>2056</v>
      </c>
      <c r="AK1008" s="10"/>
      <c r="AL1008" s="10"/>
      <c r="AM1008" s="10" t="s">
        <v>136</v>
      </c>
      <c r="AN1008" s="10" t="s">
        <v>700</v>
      </c>
      <c r="AO1008" s="10"/>
      <c r="AP1008" s="10"/>
      <c r="AQ1008" s="10"/>
      <c r="AR1008" s="10"/>
      <c r="AS1008" s="10"/>
      <c r="AT1008" s="10"/>
      <c r="AU1008" s="10"/>
      <c r="AV1008" s="10"/>
      <c r="AW1008" s="10" t="s">
        <v>108</v>
      </c>
      <c r="AX1008" s="10">
        <v>28</v>
      </c>
      <c r="AY1008" s="10" t="s">
        <v>2057</v>
      </c>
      <c r="AZ1008" s="10" t="s">
        <v>109</v>
      </c>
      <c r="BA1008" s="10" t="s">
        <v>2071</v>
      </c>
      <c r="BB1008" s="10">
        <v>23</v>
      </c>
      <c r="BC1008" s="10">
        <v>25</v>
      </c>
      <c r="BD1008" s="10">
        <v>1</v>
      </c>
      <c r="BE1008" s="10" t="s">
        <v>111</v>
      </c>
      <c r="BF1008" s="10">
        <v>21</v>
      </c>
      <c r="BG1008" s="10">
        <v>1</v>
      </c>
      <c r="BH1008" s="10"/>
      <c r="BI1008" s="10"/>
      <c r="BJ1008" s="10"/>
      <c r="BK1008" s="10"/>
      <c r="BL1008" s="10"/>
      <c r="BM1008" s="10"/>
      <c r="BN1008" s="10">
        <v>20</v>
      </c>
      <c r="BO1008" s="10"/>
      <c r="BP1008" s="10">
        <v>12</v>
      </c>
      <c r="BQ1008" s="10"/>
      <c r="BR1008" s="10" t="s">
        <v>2120</v>
      </c>
      <c r="BS1008" s="10"/>
      <c r="BT1008" s="10"/>
      <c r="BU1008" s="10"/>
      <c r="BV1008">
        <v>38.520000000000003</v>
      </c>
      <c r="BW1008">
        <v>1.1408510089999999</v>
      </c>
      <c r="BX1008">
        <v>20</v>
      </c>
      <c r="BY1008">
        <v>40.369999999999997</v>
      </c>
      <c r="BZ1008">
        <v>1.369021211</v>
      </c>
      <c r="CA1008">
        <v>20</v>
      </c>
      <c r="CB1008" t="s">
        <v>113</v>
      </c>
      <c r="CC1008" t="s">
        <v>2135</v>
      </c>
    </row>
    <row r="1009" spans="1:81" x14ac:dyDescent="0.25">
      <c r="A1009" s="10" t="s">
        <v>2023</v>
      </c>
      <c r="B1009">
        <v>1008</v>
      </c>
      <c r="C1009" s="10">
        <v>85</v>
      </c>
      <c r="D1009" s="10">
        <v>78</v>
      </c>
      <c r="E1009" s="10">
        <v>223</v>
      </c>
      <c r="F1009" s="10">
        <v>241</v>
      </c>
      <c r="G1009" s="10">
        <v>562</v>
      </c>
      <c r="H1009" s="10">
        <v>876</v>
      </c>
      <c r="I1009" s="10" t="s">
        <v>490</v>
      </c>
      <c r="J1009" s="10" t="s">
        <v>691</v>
      </c>
      <c r="K1009" s="10"/>
      <c r="L1009" s="10"/>
      <c r="M1009" s="10" t="s">
        <v>85</v>
      </c>
      <c r="N1009" s="10"/>
      <c r="O1009" s="10" t="s">
        <v>14</v>
      </c>
      <c r="P1009" s="10" t="s">
        <v>2127</v>
      </c>
      <c r="Q1009" s="10" t="s">
        <v>2128</v>
      </c>
      <c r="R1009" s="10">
        <v>2006</v>
      </c>
      <c r="S1009" s="10" t="s">
        <v>146</v>
      </c>
      <c r="T1009" s="10"/>
      <c r="U1009" s="10" t="s">
        <v>2129</v>
      </c>
      <c r="V1009" s="10" t="s">
        <v>2130</v>
      </c>
      <c r="W1009" s="10" t="s">
        <v>170</v>
      </c>
      <c r="X1009" s="10" t="s">
        <v>965</v>
      </c>
      <c r="Y1009" s="10" t="s">
        <v>966</v>
      </c>
      <c r="Z1009" s="10" t="s">
        <v>967</v>
      </c>
      <c r="AA1009" s="10" t="s">
        <v>968</v>
      </c>
      <c r="AB1009" s="10" t="s">
        <v>2131</v>
      </c>
      <c r="AC1009" s="10" t="s">
        <v>2132</v>
      </c>
      <c r="AD1009" s="10" t="s">
        <v>132</v>
      </c>
      <c r="AE1009" s="10" t="s">
        <v>316</v>
      </c>
      <c r="AF1009" s="10" t="s">
        <v>260</v>
      </c>
      <c r="AG1009" s="10" t="s">
        <v>102</v>
      </c>
      <c r="AH1009" s="10" t="s">
        <v>102</v>
      </c>
      <c r="AI1009" s="10" t="s">
        <v>134</v>
      </c>
      <c r="AJ1009" s="10" t="s">
        <v>2056</v>
      </c>
      <c r="AK1009" s="10"/>
      <c r="AL1009" s="10"/>
      <c r="AM1009" s="10" t="s">
        <v>136</v>
      </c>
      <c r="AN1009" s="10" t="s">
        <v>700</v>
      </c>
      <c r="AO1009" s="10"/>
      <c r="AP1009" s="10"/>
      <c r="AQ1009" s="10"/>
      <c r="AR1009" s="10"/>
      <c r="AS1009" s="10"/>
      <c r="AT1009" s="10"/>
      <c r="AU1009" s="10"/>
      <c r="AV1009" s="10"/>
      <c r="AW1009" s="10" t="s">
        <v>108</v>
      </c>
      <c r="AX1009" s="10">
        <v>28</v>
      </c>
      <c r="AY1009" s="10" t="s">
        <v>2057</v>
      </c>
      <c r="AZ1009" s="10" t="s">
        <v>109</v>
      </c>
      <c r="BA1009" s="10" t="s">
        <v>2071</v>
      </c>
      <c r="BB1009" s="10">
        <v>25</v>
      </c>
      <c r="BC1009" s="10">
        <v>28</v>
      </c>
      <c r="BD1009" s="10">
        <v>1</v>
      </c>
      <c r="BE1009" s="10" t="s">
        <v>111</v>
      </c>
      <c r="BF1009" s="10">
        <v>21</v>
      </c>
      <c r="BG1009" s="10">
        <v>1</v>
      </c>
      <c r="BH1009" s="10"/>
      <c r="BI1009" s="10"/>
      <c r="BJ1009" s="10"/>
      <c r="BK1009" s="10"/>
      <c r="BL1009" s="10"/>
      <c r="BM1009" s="10"/>
      <c r="BN1009" s="10">
        <v>20</v>
      </c>
      <c r="BO1009" s="10"/>
      <c r="BP1009" s="10">
        <v>12</v>
      </c>
      <c r="BQ1009" s="10"/>
      <c r="BR1009" s="10" t="s">
        <v>2120</v>
      </c>
      <c r="BS1009" s="10"/>
      <c r="BT1009" s="10"/>
      <c r="BU1009" s="10"/>
      <c r="BV1009">
        <v>40.369999999999997</v>
      </c>
      <c r="BW1009">
        <v>1.369021211</v>
      </c>
      <c r="BX1009">
        <v>20</v>
      </c>
      <c r="BY1009">
        <v>41.61</v>
      </c>
      <c r="BZ1009">
        <v>1.1408510089999999</v>
      </c>
      <c r="CA1009">
        <v>20</v>
      </c>
      <c r="CB1009" t="s">
        <v>113</v>
      </c>
      <c r="CC1009" t="s">
        <v>2135</v>
      </c>
    </row>
    <row r="1010" spans="1:81" x14ac:dyDescent="0.25">
      <c r="A1010" s="10" t="s">
        <v>2023</v>
      </c>
      <c r="B1010">
        <v>1009</v>
      </c>
      <c r="C1010" s="10">
        <v>85</v>
      </c>
      <c r="D1010" s="10">
        <v>78</v>
      </c>
      <c r="E1010" s="10">
        <v>223</v>
      </c>
      <c r="F1010" s="10">
        <v>241</v>
      </c>
      <c r="G1010" s="10">
        <v>562</v>
      </c>
      <c r="H1010" s="10">
        <v>877</v>
      </c>
      <c r="I1010" s="10" t="s">
        <v>490</v>
      </c>
      <c r="J1010" s="10" t="s">
        <v>691</v>
      </c>
      <c r="K1010" s="10"/>
      <c r="L1010" s="10"/>
      <c r="M1010" s="10" t="s">
        <v>85</v>
      </c>
      <c r="N1010" s="10"/>
      <c r="O1010" s="10" t="s">
        <v>14</v>
      </c>
      <c r="P1010" s="10" t="s">
        <v>2127</v>
      </c>
      <c r="Q1010" s="10" t="s">
        <v>2128</v>
      </c>
      <c r="R1010" s="10">
        <v>2006</v>
      </c>
      <c r="S1010" s="10" t="s">
        <v>146</v>
      </c>
      <c r="T1010" s="10"/>
      <c r="U1010" s="10" t="s">
        <v>2129</v>
      </c>
      <c r="V1010" s="10" t="s">
        <v>2130</v>
      </c>
      <c r="W1010" s="10" t="s">
        <v>170</v>
      </c>
      <c r="X1010" s="10" t="s">
        <v>965</v>
      </c>
      <c r="Y1010" s="10" t="s">
        <v>966</v>
      </c>
      <c r="Z1010" s="10" t="s">
        <v>967</v>
      </c>
      <c r="AA1010" s="10" t="s">
        <v>968</v>
      </c>
      <c r="AB1010" s="10" t="s">
        <v>2131</v>
      </c>
      <c r="AC1010" s="10" t="s">
        <v>2132</v>
      </c>
      <c r="AD1010" s="10" t="s">
        <v>132</v>
      </c>
      <c r="AE1010" s="10" t="s">
        <v>316</v>
      </c>
      <c r="AF1010" s="10" t="s">
        <v>260</v>
      </c>
      <c r="AG1010" s="10" t="s">
        <v>102</v>
      </c>
      <c r="AH1010" s="10" t="s">
        <v>102</v>
      </c>
      <c r="AI1010" s="10" t="s">
        <v>134</v>
      </c>
      <c r="AJ1010" s="10" t="s">
        <v>2056</v>
      </c>
      <c r="AK1010" s="10"/>
      <c r="AL1010" s="10"/>
      <c r="AM1010" s="10" t="s">
        <v>136</v>
      </c>
      <c r="AN1010" s="10" t="s">
        <v>700</v>
      </c>
      <c r="AO1010" s="10"/>
      <c r="AP1010" s="10"/>
      <c r="AQ1010" s="10"/>
      <c r="AR1010" s="10"/>
      <c r="AS1010" s="10"/>
      <c r="AT1010" s="10"/>
      <c r="AU1010" s="10"/>
      <c r="AV1010" s="10"/>
      <c r="AW1010" s="10" t="s">
        <v>108</v>
      </c>
      <c r="AX1010" s="10">
        <v>28</v>
      </c>
      <c r="AY1010" s="10" t="s">
        <v>2057</v>
      </c>
      <c r="AZ1010" s="10" t="s">
        <v>109</v>
      </c>
      <c r="BA1010" s="10" t="s">
        <v>2071</v>
      </c>
      <c r="BB1010" s="10">
        <v>28</v>
      </c>
      <c r="BC1010" s="10">
        <v>30</v>
      </c>
      <c r="BD1010" s="10">
        <v>1</v>
      </c>
      <c r="BE1010" s="10" t="s">
        <v>111</v>
      </c>
      <c r="BF1010" s="10">
        <v>21</v>
      </c>
      <c r="BG1010" s="10">
        <v>1</v>
      </c>
      <c r="BH1010" s="10"/>
      <c r="BI1010" s="10"/>
      <c r="BJ1010" s="10"/>
      <c r="BK1010" s="10"/>
      <c r="BL1010" s="10"/>
      <c r="BM1010" s="10"/>
      <c r="BN1010" s="10">
        <v>20</v>
      </c>
      <c r="BO1010" s="10"/>
      <c r="BP1010" s="10">
        <v>12</v>
      </c>
      <c r="BQ1010" s="10"/>
      <c r="BR1010" s="10" t="s">
        <v>2120</v>
      </c>
      <c r="BS1010" s="10"/>
      <c r="BT1010" s="10"/>
      <c r="BU1010" s="10"/>
      <c r="BV1010">
        <v>41.61</v>
      </c>
      <c r="BW1010">
        <v>1.1408510089999999</v>
      </c>
      <c r="BX1010">
        <v>20</v>
      </c>
      <c r="BY1010">
        <v>42.05</v>
      </c>
      <c r="BZ1010">
        <v>1.1408510089999999</v>
      </c>
      <c r="CA1010">
        <v>20</v>
      </c>
      <c r="CB1010" t="s">
        <v>113</v>
      </c>
      <c r="CC1010" t="s">
        <v>2135</v>
      </c>
    </row>
    <row r="1011" spans="1:81" x14ac:dyDescent="0.25">
      <c r="A1011" s="10" t="s">
        <v>2023</v>
      </c>
      <c r="B1011">
        <v>1010</v>
      </c>
      <c r="C1011" s="10">
        <v>85</v>
      </c>
      <c r="D1011" s="10">
        <v>78</v>
      </c>
      <c r="E1011" s="10">
        <v>223</v>
      </c>
      <c r="F1011" s="10">
        <v>241</v>
      </c>
      <c r="G1011" s="10">
        <v>562</v>
      </c>
      <c r="H1011" s="10">
        <v>878</v>
      </c>
      <c r="I1011" s="10" t="s">
        <v>490</v>
      </c>
      <c r="J1011" s="10" t="s">
        <v>691</v>
      </c>
      <c r="K1011" s="10"/>
      <c r="L1011" s="10"/>
      <c r="M1011" s="10" t="s">
        <v>85</v>
      </c>
      <c r="N1011" s="10"/>
      <c r="O1011" s="10" t="s">
        <v>14</v>
      </c>
      <c r="P1011" s="10" t="s">
        <v>2127</v>
      </c>
      <c r="Q1011" s="10" t="s">
        <v>2128</v>
      </c>
      <c r="R1011" s="10">
        <v>2006</v>
      </c>
      <c r="S1011" s="10" t="s">
        <v>146</v>
      </c>
      <c r="T1011" s="10"/>
      <c r="U1011" s="10" t="s">
        <v>2129</v>
      </c>
      <c r="V1011" s="10" t="s">
        <v>2130</v>
      </c>
      <c r="W1011" s="10" t="s">
        <v>170</v>
      </c>
      <c r="X1011" s="10" t="s">
        <v>965</v>
      </c>
      <c r="Y1011" s="10" t="s">
        <v>966</v>
      </c>
      <c r="Z1011" s="10" t="s">
        <v>967</v>
      </c>
      <c r="AA1011" s="10" t="s">
        <v>968</v>
      </c>
      <c r="AB1011" s="10" t="s">
        <v>2131</v>
      </c>
      <c r="AC1011" s="10" t="s">
        <v>2132</v>
      </c>
      <c r="AD1011" s="10" t="s">
        <v>132</v>
      </c>
      <c r="AE1011" s="10" t="s">
        <v>316</v>
      </c>
      <c r="AF1011" s="10" t="s">
        <v>260</v>
      </c>
      <c r="AG1011" s="10" t="s">
        <v>102</v>
      </c>
      <c r="AH1011" s="10" t="s">
        <v>102</v>
      </c>
      <c r="AI1011" s="10" t="s">
        <v>134</v>
      </c>
      <c r="AJ1011" s="10" t="s">
        <v>2056</v>
      </c>
      <c r="AK1011" s="10"/>
      <c r="AL1011" s="10"/>
      <c r="AM1011" s="10" t="s">
        <v>136</v>
      </c>
      <c r="AN1011" s="10" t="s">
        <v>700</v>
      </c>
      <c r="AO1011" s="10"/>
      <c r="AP1011" s="10"/>
      <c r="AQ1011" s="10"/>
      <c r="AR1011" s="10"/>
      <c r="AS1011" s="10"/>
      <c r="AT1011" s="10"/>
      <c r="AU1011" s="10"/>
      <c r="AV1011" s="10"/>
      <c r="AW1011" s="10" t="s">
        <v>108</v>
      </c>
      <c r="AX1011" s="10">
        <v>28</v>
      </c>
      <c r="AY1011" s="10" t="s">
        <v>2057</v>
      </c>
      <c r="AZ1011" s="10" t="s">
        <v>109</v>
      </c>
      <c r="BA1011" s="10" t="s">
        <v>2071</v>
      </c>
      <c r="BB1011" s="10">
        <v>30</v>
      </c>
      <c r="BC1011" s="10">
        <v>33</v>
      </c>
      <c r="BD1011" s="10">
        <v>1</v>
      </c>
      <c r="BE1011" s="10" t="s">
        <v>111</v>
      </c>
      <c r="BF1011" s="10">
        <v>21</v>
      </c>
      <c r="BG1011" s="10">
        <v>1</v>
      </c>
      <c r="BH1011" s="10"/>
      <c r="BI1011" s="10"/>
      <c r="BJ1011" s="10"/>
      <c r="BK1011" s="10"/>
      <c r="BL1011" s="10"/>
      <c r="BM1011" s="10"/>
      <c r="BN1011" s="10">
        <v>20</v>
      </c>
      <c r="BO1011" s="10"/>
      <c r="BP1011" s="10">
        <v>12</v>
      </c>
      <c r="BQ1011" s="10"/>
      <c r="BR1011" s="10" t="s">
        <v>2120</v>
      </c>
      <c r="BS1011" s="10"/>
      <c r="BT1011" s="10" t="s">
        <v>2136</v>
      </c>
      <c r="BU1011" s="10"/>
      <c r="BV1011">
        <v>42.05</v>
      </c>
      <c r="BW1011">
        <v>1.1408510089999999</v>
      </c>
      <c r="BX1011">
        <v>20</v>
      </c>
      <c r="BY1011">
        <v>43</v>
      </c>
      <c r="BZ1011" t="s">
        <v>454</v>
      </c>
      <c r="CA1011">
        <v>20</v>
      </c>
      <c r="CB1011" t="s">
        <v>113</v>
      </c>
      <c r="CC1011" t="s">
        <v>2134</v>
      </c>
    </row>
    <row r="1012" spans="1:81" x14ac:dyDescent="0.25">
      <c r="A1012" s="10" t="s">
        <v>2023</v>
      </c>
      <c r="B1012">
        <v>1011</v>
      </c>
      <c r="C1012" s="10">
        <v>85</v>
      </c>
      <c r="D1012" s="10">
        <v>78</v>
      </c>
      <c r="E1012" s="10">
        <v>223</v>
      </c>
      <c r="F1012" s="10">
        <v>241</v>
      </c>
      <c r="G1012" s="10">
        <v>563</v>
      </c>
      <c r="H1012" s="10">
        <v>879</v>
      </c>
      <c r="I1012" s="10" t="s">
        <v>490</v>
      </c>
      <c r="J1012" s="10" t="s">
        <v>691</v>
      </c>
      <c r="K1012" s="10"/>
      <c r="L1012" s="10"/>
      <c r="M1012" s="10" t="s">
        <v>85</v>
      </c>
      <c r="N1012" s="10"/>
      <c r="O1012" s="10" t="s">
        <v>14</v>
      </c>
      <c r="P1012" s="10" t="s">
        <v>2127</v>
      </c>
      <c r="Q1012" s="10" t="s">
        <v>2128</v>
      </c>
      <c r="R1012" s="10">
        <v>2006</v>
      </c>
      <c r="S1012" s="10" t="s">
        <v>146</v>
      </c>
      <c r="T1012" s="10"/>
      <c r="U1012" s="10" t="s">
        <v>2129</v>
      </c>
      <c r="V1012" s="10" t="s">
        <v>2130</v>
      </c>
      <c r="W1012" s="10" t="s">
        <v>170</v>
      </c>
      <c r="X1012" s="10" t="s">
        <v>965</v>
      </c>
      <c r="Y1012" s="10" t="s">
        <v>966</v>
      </c>
      <c r="Z1012" s="10" t="s">
        <v>967</v>
      </c>
      <c r="AA1012" s="10" t="s">
        <v>968</v>
      </c>
      <c r="AB1012" s="10" t="s">
        <v>2131</v>
      </c>
      <c r="AC1012" s="10" t="s">
        <v>2132</v>
      </c>
      <c r="AD1012" s="10" t="s">
        <v>132</v>
      </c>
      <c r="AE1012" s="10" t="s">
        <v>316</v>
      </c>
      <c r="AF1012" s="10" t="s">
        <v>260</v>
      </c>
      <c r="AG1012" s="10" t="s">
        <v>102</v>
      </c>
      <c r="AH1012" s="10" t="s">
        <v>102</v>
      </c>
      <c r="AI1012" s="10" t="s">
        <v>134</v>
      </c>
      <c r="AJ1012" s="10" t="s">
        <v>2056</v>
      </c>
      <c r="AK1012" s="10"/>
      <c r="AL1012" s="10"/>
      <c r="AM1012" s="10" t="s">
        <v>136</v>
      </c>
      <c r="AN1012" s="10" t="s">
        <v>700</v>
      </c>
      <c r="AO1012" s="10"/>
      <c r="AP1012" s="10"/>
      <c r="AQ1012" s="10"/>
      <c r="AR1012" s="10"/>
      <c r="AS1012" s="10"/>
      <c r="AT1012" s="10"/>
      <c r="AU1012" s="10"/>
      <c r="AV1012" s="10"/>
      <c r="AW1012" s="10" t="s">
        <v>108</v>
      </c>
      <c r="AX1012" s="10">
        <v>28</v>
      </c>
      <c r="AY1012" s="10" t="s">
        <v>2057</v>
      </c>
      <c r="AZ1012" s="10" t="s">
        <v>109</v>
      </c>
      <c r="BA1012" s="10" t="s">
        <v>2071</v>
      </c>
      <c r="BB1012" s="10">
        <v>20</v>
      </c>
      <c r="BC1012" s="10">
        <v>23</v>
      </c>
      <c r="BD1012" s="10">
        <v>1</v>
      </c>
      <c r="BE1012" s="10" t="s">
        <v>111</v>
      </c>
      <c r="BF1012" s="10">
        <v>21</v>
      </c>
      <c r="BG1012" s="10">
        <v>1</v>
      </c>
      <c r="BH1012" s="10"/>
      <c r="BI1012" s="10"/>
      <c r="BJ1012" s="10"/>
      <c r="BK1012" s="10"/>
      <c r="BL1012" s="10"/>
      <c r="BM1012" s="10"/>
      <c r="BN1012" s="10">
        <v>25</v>
      </c>
      <c r="BO1012" s="10"/>
      <c r="BP1012" s="10">
        <v>12</v>
      </c>
      <c r="BQ1012" s="10"/>
      <c r="BR1012" s="10" t="s">
        <v>2120</v>
      </c>
      <c r="BS1012" s="10"/>
      <c r="BT1012" s="10"/>
      <c r="BU1012" s="10"/>
      <c r="BV1012">
        <v>37.44</v>
      </c>
      <c r="BW1012">
        <v>1.1408510089999999</v>
      </c>
      <c r="BX1012">
        <v>20</v>
      </c>
      <c r="BY1012">
        <v>38.79</v>
      </c>
      <c r="BZ1012">
        <v>0.91268080699999998</v>
      </c>
      <c r="CA1012">
        <v>20</v>
      </c>
      <c r="CB1012" t="s">
        <v>113</v>
      </c>
      <c r="CC1012" t="s">
        <v>2135</v>
      </c>
    </row>
    <row r="1013" spans="1:81" x14ac:dyDescent="0.25">
      <c r="A1013" s="10" t="s">
        <v>2023</v>
      </c>
      <c r="B1013">
        <v>1012</v>
      </c>
      <c r="C1013" s="10">
        <v>85</v>
      </c>
      <c r="D1013" s="10">
        <v>78</v>
      </c>
      <c r="E1013" s="10">
        <v>223</v>
      </c>
      <c r="F1013" s="10">
        <v>241</v>
      </c>
      <c r="G1013" s="10">
        <v>563</v>
      </c>
      <c r="H1013" s="10">
        <v>880</v>
      </c>
      <c r="I1013" s="10" t="s">
        <v>490</v>
      </c>
      <c r="J1013" s="10" t="s">
        <v>691</v>
      </c>
      <c r="K1013" s="10"/>
      <c r="L1013" s="10"/>
      <c r="M1013" s="10" t="s">
        <v>85</v>
      </c>
      <c r="N1013" s="10"/>
      <c r="O1013" s="10" t="s">
        <v>14</v>
      </c>
      <c r="P1013" s="10" t="s">
        <v>2127</v>
      </c>
      <c r="Q1013" s="10" t="s">
        <v>2128</v>
      </c>
      <c r="R1013" s="10">
        <v>2006</v>
      </c>
      <c r="S1013" s="10" t="s">
        <v>146</v>
      </c>
      <c r="T1013" s="10"/>
      <c r="U1013" s="10" t="s">
        <v>2129</v>
      </c>
      <c r="V1013" s="10" t="s">
        <v>2130</v>
      </c>
      <c r="W1013" s="10" t="s">
        <v>170</v>
      </c>
      <c r="X1013" s="10" t="s">
        <v>965</v>
      </c>
      <c r="Y1013" s="10" t="s">
        <v>966</v>
      </c>
      <c r="Z1013" s="10" t="s">
        <v>967</v>
      </c>
      <c r="AA1013" s="10" t="s">
        <v>968</v>
      </c>
      <c r="AB1013" s="10" t="s">
        <v>2131</v>
      </c>
      <c r="AC1013" s="10" t="s">
        <v>2132</v>
      </c>
      <c r="AD1013" s="10" t="s">
        <v>132</v>
      </c>
      <c r="AE1013" s="10" t="s">
        <v>316</v>
      </c>
      <c r="AF1013" s="10" t="s">
        <v>260</v>
      </c>
      <c r="AG1013" s="10" t="s">
        <v>102</v>
      </c>
      <c r="AH1013" s="10" t="s">
        <v>102</v>
      </c>
      <c r="AI1013" s="10" t="s">
        <v>134</v>
      </c>
      <c r="AJ1013" s="10" t="s">
        <v>2056</v>
      </c>
      <c r="AK1013" s="10"/>
      <c r="AL1013" s="10"/>
      <c r="AM1013" s="10" t="s">
        <v>136</v>
      </c>
      <c r="AN1013" s="10" t="s">
        <v>700</v>
      </c>
      <c r="AO1013" s="10"/>
      <c r="AP1013" s="10"/>
      <c r="AQ1013" s="10"/>
      <c r="AR1013" s="10"/>
      <c r="AS1013" s="10"/>
      <c r="AT1013" s="10"/>
      <c r="AU1013" s="10"/>
      <c r="AV1013" s="10"/>
      <c r="AW1013" s="10" t="s">
        <v>108</v>
      </c>
      <c r="AX1013" s="10">
        <v>28</v>
      </c>
      <c r="AY1013" s="10" t="s">
        <v>2057</v>
      </c>
      <c r="AZ1013" s="10" t="s">
        <v>109</v>
      </c>
      <c r="BA1013" s="10" t="s">
        <v>2071</v>
      </c>
      <c r="BB1013" s="10">
        <v>23</v>
      </c>
      <c r="BC1013" s="10">
        <v>25</v>
      </c>
      <c r="BD1013" s="10">
        <v>1</v>
      </c>
      <c r="BE1013" s="10" t="s">
        <v>111</v>
      </c>
      <c r="BF1013" s="10">
        <v>21</v>
      </c>
      <c r="BG1013" s="10">
        <v>1</v>
      </c>
      <c r="BH1013" s="10"/>
      <c r="BI1013" s="10"/>
      <c r="BJ1013" s="10"/>
      <c r="BK1013" s="10"/>
      <c r="BL1013" s="10"/>
      <c r="BM1013" s="10"/>
      <c r="BN1013" s="10">
        <v>25</v>
      </c>
      <c r="BO1013" s="10"/>
      <c r="BP1013" s="10">
        <v>12</v>
      </c>
      <c r="BQ1013" s="10"/>
      <c r="BR1013" s="10" t="s">
        <v>2120</v>
      </c>
      <c r="BS1013" s="10"/>
      <c r="BT1013" s="10"/>
      <c r="BU1013" s="10"/>
      <c r="BV1013">
        <v>38.79</v>
      </c>
      <c r="BW1013">
        <v>0.91268080699999998</v>
      </c>
      <c r="BX1013">
        <v>20</v>
      </c>
      <c r="BY1013">
        <v>39.06</v>
      </c>
      <c r="BZ1013">
        <v>2.053531816</v>
      </c>
      <c r="CA1013">
        <v>20</v>
      </c>
      <c r="CB1013" t="s">
        <v>113</v>
      </c>
      <c r="CC1013" t="s">
        <v>2135</v>
      </c>
    </row>
    <row r="1014" spans="1:81" x14ac:dyDescent="0.25">
      <c r="A1014" s="10" t="s">
        <v>2023</v>
      </c>
      <c r="B1014">
        <v>1013</v>
      </c>
      <c r="C1014" s="10">
        <v>85</v>
      </c>
      <c r="D1014" s="10">
        <v>78</v>
      </c>
      <c r="E1014" s="10">
        <v>223</v>
      </c>
      <c r="F1014" s="10">
        <v>241</v>
      </c>
      <c r="G1014" s="10">
        <v>563</v>
      </c>
      <c r="H1014" s="10">
        <v>881</v>
      </c>
      <c r="I1014" s="10" t="s">
        <v>490</v>
      </c>
      <c r="J1014" s="10" t="s">
        <v>691</v>
      </c>
      <c r="K1014" s="10"/>
      <c r="L1014" s="10"/>
      <c r="M1014" s="10" t="s">
        <v>85</v>
      </c>
      <c r="N1014" s="10"/>
      <c r="O1014" s="10" t="s">
        <v>14</v>
      </c>
      <c r="P1014" s="10" t="s">
        <v>2127</v>
      </c>
      <c r="Q1014" s="10" t="s">
        <v>2128</v>
      </c>
      <c r="R1014" s="10">
        <v>2006</v>
      </c>
      <c r="S1014" s="10" t="s">
        <v>146</v>
      </c>
      <c r="T1014" s="10"/>
      <c r="U1014" s="10" t="s">
        <v>2129</v>
      </c>
      <c r="V1014" s="10" t="s">
        <v>2130</v>
      </c>
      <c r="W1014" s="10" t="s">
        <v>170</v>
      </c>
      <c r="X1014" s="10" t="s">
        <v>965</v>
      </c>
      <c r="Y1014" s="10" t="s">
        <v>966</v>
      </c>
      <c r="Z1014" s="10" t="s">
        <v>967</v>
      </c>
      <c r="AA1014" s="10" t="s">
        <v>968</v>
      </c>
      <c r="AB1014" s="10" t="s">
        <v>2131</v>
      </c>
      <c r="AC1014" s="10" t="s">
        <v>2132</v>
      </c>
      <c r="AD1014" s="10" t="s">
        <v>132</v>
      </c>
      <c r="AE1014" s="10" t="s">
        <v>316</v>
      </c>
      <c r="AF1014" s="10" t="s">
        <v>260</v>
      </c>
      <c r="AG1014" s="10" t="s">
        <v>102</v>
      </c>
      <c r="AH1014" s="10" t="s">
        <v>102</v>
      </c>
      <c r="AI1014" s="10" t="s">
        <v>134</v>
      </c>
      <c r="AJ1014" s="10" t="s">
        <v>2056</v>
      </c>
      <c r="AK1014" s="10"/>
      <c r="AL1014" s="10"/>
      <c r="AM1014" s="10" t="s">
        <v>136</v>
      </c>
      <c r="AN1014" s="10" t="s">
        <v>700</v>
      </c>
      <c r="AO1014" s="10"/>
      <c r="AP1014" s="10"/>
      <c r="AQ1014" s="10"/>
      <c r="AR1014" s="10"/>
      <c r="AS1014" s="10"/>
      <c r="AT1014" s="10"/>
      <c r="AU1014" s="10"/>
      <c r="AV1014" s="10"/>
      <c r="AW1014" s="10" t="s">
        <v>108</v>
      </c>
      <c r="AX1014" s="10">
        <v>28</v>
      </c>
      <c r="AY1014" s="10" t="s">
        <v>2057</v>
      </c>
      <c r="AZ1014" s="10" t="s">
        <v>109</v>
      </c>
      <c r="BA1014" s="10" t="s">
        <v>2071</v>
      </c>
      <c r="BB1014" s="10">
        <v>25</v>
      </c>
      <c r="BC1014" s="10">
        <v>28</v>
      </c>
      <c r="BD1014" s="10">
        <v>1</v>
      </c>
      <c r="BE1014" s="10" t="s">
        <v>111</v>
      </c>
      <c r="BF1014" s="10">
        <v>21</v>
      </c>
      <c r="BG1014" s="10">
        <v>1</v>
      </c>
      <c r="BH1014" s="10"/>
      <c r="BI1014" s="10"/>
      <c r="BJ1014" s="10"/>
      <c r="BK1014" s="10"/>
      <c r="BL1014" s="10"/>
      <c r="BM1014" s="10"/>
      <c r="BN1014" s="10">
        <v>25</v>
      </c>
      <c r="BO1014" s="10"/>
      <c r="BP1014" s="10">
        <v>12</v>
      </c>
      <c r="BQ1014" s="10"/>
      <c r="BR1014" s="10" t="s">
        <v>2120</v>
      </c>
      <c r="BS1014" s="10"/>
      <c r="BT1014" s="10" t="s">
        <v>452</v>
      </c>
      <c r="BU1014" s="10"/>
      <c r="BV1014">
        <v>39.06</v>
      </c>
      <c r="BW1014">
        <v>2.053531816</v>
      </c>
      <c r="BX1014">
        <v>20</v>
      </c>
      <c r="BY1014">
        <v>41</v>
      </c>
      <c r="BZ1014" t="s">
        <v>454</v>
      </c>
      <c r="CA1014">
        <v>20</v>
      </c>
      <c r="CB1014" t="s">
        <v>113</v>
      </c>
      <c r="CC1014" t="s">
        <v>2134</v>
      </c>
    </row>
    <row r="1015" spans="1:81" x14ac:dyDescent="0.25">
      <c r="A1015" s="10" t="s">
        <v>2023</v>
      </c>
      <c r="B1015">
        <v>1014</v>
      </c>
      <c r="C1015" s="10">
        <v>85</v>
      </c>
      <c r="D1015" s="10">
        <v>78</v>
      </c>
      <c r="E1015" s="10">
        <v>223</v>
      </c>
      <c r="F1015" s="10">
        <v>241</v>
      </c>
      <c r="G1015" s="10">
        <v>563</v>
      </c>
      <c r="H1015" s="10">
        <v>882</v>
      </c>
      <c r="I1015" s="10" t="s">
        <v>490</v>
      </c>
      <c r="J1015" s="10" t="s">
        <v>691</v>
      </c>
      <c r="K1015" s="10"/>
      <c r="L1015" s="10"/>
      <c r="M1015" s="10" t="s">
        <v>85</v>
      </c>
      <c r="N1015" s="10"/>
      <c r="O1015" s="10" t="s">
        <v>14</v>
      </c>
      <c r="P1015" s="10" t="s">
        <v>2127</v>
      </c>
      <c r="Q1015" s="10" t="s">
        <v>2128</v>
      </c>
      <c r="R1015" s="10">
        <v>2006</v>
      </c>
      <c r="S1015" s="10" t="s">
        <v>146</v>
      </c>
      <c r="T1015" s="10"/>
      <c r="U1015" s="10" t="s">
        <v>2129</v>
      </c>
      <c r="V1015" s="10" t="s">
        <v>2130</v>
      </c>
      <c r="W1015" s="10" t="s">
        <v>170</v>
      </c>
      <c r="X1015" s="10" t="s">
        <v>965</v>
      </c>
      <c r="Y1015" s="10" t="s">
        <v>966</v>
      </c>
      <c r="Z1015" s="10" t="s">
        <v>967</v>
      </c>
      <c r="AA1015" s="10" t="s">
        <v>968</v>
      </c>
      <c r="AB1015" s="10" t="s">
        <v>2131</v>
      </c>
      <c r="AC1015" s="10" t="s">
        <v>2132</v>
      </c>
      <c r="AD1015" s="10" t="s">
        <v>132</v>
      </c>
      <c r="AE1015" s="10" t="s">
        <v>316</v>
      </c>
      <c r="AF1015" s="10" t="s">
        <v>260</v>
      </c>
      <c r="AG1015" s="10" t="s">
        <v>102</v>
      </c>
      <c r="AH1015" s="10" t="s">
        <v>102</v>
      </c>
      <c r="AI1015" s="10" t="s">
        <v>134</v>
      </c>
      <c r="AJ1015" s="10" t="s">
        <v>2056</v>
      </c>
      <c r="AK1015" s="10"/>
      <c r="AL1015" s="10"/>
      <c r="AM1015" s="10" t="s">
        <v>136</v>
      </c>
      <c r="AN1015" s="10" t="s">
        <v>700</v>
      </c>
      <c r="AO1015" s="10"/>
      <c r="AP1015" s="10"/>
      <c r="AQ1015" s="10"/>
      <c r="AR1015" s="10"/>
      <c r="AS1015" s="10"/>
      <c r="AT1015" s="10"/>
      <c r="AU1015" s="10"/>
      <c r="AV1015" s="10"/>
      <c r="AW1015" s="10" t="s">
        <v>108</v>
      </c>
      <c r="AX1015" s="10">
        <v>28</v>
      </c>
      <c r="AY1015" s="10" t="s">
        <v>2057</v>
      </c>
      <c r="AZ1015" s="10" t="s">
        <v>109</v>
      </c>
      <c r="BA1015" s="10" t="s">
        <v>2071</v>
      </c>
      <c r="BB1015" s="10">
        <v>28</v>
      </c>
      <c r="BC1015" s="10">
        <v>30</v>
      </c>
      <c r="BD1015" s="10">
        <v>1</v>
      </c>
      <c r="BE1015" s="10" t="s">
        <v>111</v>
      </c>
      <c r="BF1015" s="10">
        <v>21</v>
      </c>
      <c r="BG1015" s="10">
        <v>1</v>
      </c>
      <c r="BH1015" s="10"/>
      <c r="BI1015" s="10"/>
      <c r="BJ1015" s="10"/>
      <c r="BK1015" s="10"/>
      <c r="BL1015" s="10"/>
      <c r="BM1015" s="10"/>
      <c r="BN1015" s="10">
        <v>25</v>
      </c>
      <c r="BO1015" s="10"/>
      <c r="BP1015" s="10">
        <v>12</v>
      </c>
      <c r="BQ1015" s="10"/>
      <c r="BR1015" s="10" t="s">
        <v>2120</v>
      </c>
      <c r="BS1015" s="10"/>
      <c r="BT1015" s="10" t="s">
        <v>452</v>
      </c>
      <c r="BU1015" s="10"/>
      <c r="BV1015">
        <v>41</v>
      </c>
      <c r="BW1015" t="s">
        <v>454</v>
      </c>
      <c r="BX1015">
        <v>20</v>
      </c>
      <c r="BY1015">
        <v>41.64</v>
      </c>
      <c r="BZ1015">
        <v>1.369021211</v>
      </c>
      <c r="CA1015">
        <v>20</v>
      </c>
      <c r="CB1015" t="s">
        <v>113</v>
      </c>
      <c r="CC1015" t="s">
        <v>2134</v>
      </c>
    </row>
    <row r="1016" spans="1:81" x14ac:dyDescent="0.25">
      <c r="A1016" s="10" t="s">
        <v>2023</v>
      </c>
      <c r="B1016">
        <v>1015</v>
      </c>
      <c r="C1016" s="10">
        <v>85</v>
      </c>
      <c r="D1016" s="10">
        <v>78</v>
      </c>
      <c r="E1016" s="10">
        <v>223</v>
      </c>
      <c r="F1016" s="10">
        <v>241</v>
      </c>
      <c r="G1016" s="10">
        <v>563</v>
      </c>
      <c r="H1016" s="10">
        <v>883</v>
      </c>
      <c r="I1016" s="10" t="s">
        <v>490</v>
      </c>
      <c r="J1016" s="10" t="s">
        <v>691</v>
      </c>
      <c r="K1016" s="10"/>
      <c r="L1016" s="10"/>
      <c r="M1016" s="10" t="s">
        <v>85</v>
      </c>
      <c r="N1016" s="10"/>
      <c r="O1016" s="10" t="s">
        <v>14</v>
      </c>
      <c r="P1016" s="10" t="s">
        <v>2127</v>
      </c>
      <c r="Q1016" s="10" t="s">
        <v>2128</v>
      </c>
      <c r="R1016" s="10">
        <v>2006</v>
      </c>
      <c r="S1016" s="10" t="s">
        <v>146</v>
      </c>
      <c r="T1016" s="10"/>
      <c r="U1016" s="10" t="s">
        <v>2129</v>
      </c>
      <c r="V1016" s="10" t="s">
        <v>2130</v>
      </c>
      <c r="W1016" s="10" t="s">
        <v>170</v>
      </c>
      <c r="X1016" s="10" t="s">
        <v>965</v>
      </c>
      <c r="Y1016" s="10" t="s">
        <v>966</v>
      </c>
      <c r="Z1016" s="10" t="s">
        <v>967</v>
      </c>
      <c r="AA1016" s="10" t="s">
        <v>968</v>
      </c>
      <c r="AB1016" s="10" t="s">
        <v>2131</v>
      </c>
      <c r="AC1016" s="10" t="s">
        <v>2132</v>
      </c>
      <c r="AD1016" s="10" t="s">
        <v>132</v>
      </c>
      <c r="AE1016" s="10" t="s">
        <v>316</v>
      </c>
      <c r="AF1016" s="10" t="s">
        <v>260</v>
      </c>
      <c r="AG1016" s="10" t="s">
        <v>102</v>
      </c>
      <c r="AH1016" s="10" t="s">
        <v>102</v>
      </c>
      <c r="AI1016" s="10" t="s">
        <v>134</v>
      </c>
      <c r="AJ1016" s="10" t="s">
        <v>2056</v>
      </c>
      <c r="AK1016" s="10"/>
      <c r="AL1016" s="10"/>
      <c r="AM1016" s="10" t="s">
        <v>136</v>
      </c>
      <c r="AN1016" s="10" t="s">
        <v>700</v>
      </c>
      <c r="AO1016" s="10"/>
      <c r="AP1016" s="10"/>
      <c r="AQ1016" s="10"/>
      <c r="AR1016" s="10"/>
      <c r="AS1016" s="10"/>
      <c r="AT1016" s="10"/>
      <c r="AU1016" s="10"/>
      <c r="AV1016" s="10"/>
      <c r="AW1016" s="10" t="s">
        <v>108</v>
      </c>
      <c r="AX1016" s="10">
        <v>28</v>
      </c>
      <c r="AY1016" s="10" t="s">
        <v>2057</v>
      </c>
      <c r="AZ1016" s="10" t="s">
        <v>109</v>
      </c>
      <c r="BA1016" s="10" t="s">
        <v>2071</v>
      </c>
      <c r="BB1016" s="10">
        <v>30</v>
      </c>
      <c r="BC1016" s="10">
        <v>33</v>
      </c>
      <c r="BD1016" s="10">
        <v>1</v>
      </c>
      <c r="BE1016" s="10" t="s">
        <v>111</v>
      </c>
      <c r="BF1016" s="10">
        <v>21</v>
      </c>
      <c r="BG1016" s="10">
        <v>1</v>
      </c>
      <c r="BH1016" s="10"/>
      <c r="BI1016" s="10"/>
      <c r="BJ1016" s="10"/>
      <c r="BK1016" s="10"/>
      <c r="BL1016" s="10"/>
      <c r="BM1016" s="10"/>
      <c r="BN1016" s="10">
        <v>25</v>
      </c>
      <c r="BO1016" s="10"/>
      <c r="BP1016" s="10">
        <v>12</v>
      </c>
      <c r="BQ1016" s="10"/>
      <c r="BR1016" s="10" t="s">
        <v>2120</v>
      </c>
      <c r="BS1016" s="10"/>
      <c r="BT1016" s="10" t="s">
        <v>452</v>
      </c>
      <c r="BU1016" s="10"/>
      <c r="BV1016">
        <v>41.64</v>
      </c>
      <c r="BW1016">
        <v>1.369021211</v>
      </c>
      <c r="BX1016">
        <v>20</v>
      </c>
      <c r="BY1016">
        <v>43</v>
      </c>
      <c r="BZ1016" t="s">
        <v>454</v>
      </c>
      <c r="CA1016">
        <v>20</v>
      </c>
      <c r="CB1016" t="s">
        <v>113</v>
      </c>
      <c r="CC1016" t="s">
        <v>2134</v>
      </c>
    </row>
    <row r="1017" spans="1:81" x14ac:dyDescent="0.25">
      <c r="A1017" s="10" t="s">
        <v>2023</v>
      </c>
      <c r="B1017">
        <v>1016</v>
      </c>
      <c r="C1017" s="10">
        <v>85</v>
      </c>
      <c r="D1017" s="10">
        <v>78</v>
      </c>
      <c r="E1017" s="10">
        <v>223</v>
      </c>
      <c r="F1017" s="10">
        <v>241</v>
      </c>
      <c r="G1017" s="10">
        <v>564</v>
      </c>
      <c r="H1017" s="10">
        <v>884</v>
      </c>
      <c r="I1017" s="10" t="s">
        <v>490</v>
      </c>
      <c r="J1017" s="10" t="s">
        <v>691</v>
      </c>
      <c r="K1017" s="10"/>
      <c r="L1017" s="10"/>
      <c r="M1017" s="10" t="s">
        <v>85</v>
      </c>
      <c r="N1017" s="10"/>
      <c r="O1017" s="10" t="s">
        <v>14</v>
      </c>
      <c r="P1017" s="10" t="s">
        <v>2127</v>
      </c>
      <c r="Q1017" s="10" t="s">
        <v>2128</v>
      </c>
      <c r="R1017" s="10">
        <v>2006</v>
      </c>
      <c r="S1017" s="10" t="s">
        <v>146</v>
      </c>
      <c r="T1017" s="10"/>
      <c r="U1017" s="10" t="s">
        <v>2129</v>
      </c>
      <c r="V1017" s="10" t="s">
        <v>2130</v>
      </c>
      <c r="W1017" s="10" t="s">
        <v>170</v>
      </c>
      <c r="X1017" s="10" t="s">
        <v>965</v>
      </c>
      <c r="Y1017" s="10" t="s">
        <v>966</v>
      </c>
      <c r="Z1017" s="10" t="s">
        <v>967</v>
      </c>
      <c r="AA1017" s="10" t="s">
        <v>968</v>
      </c>
      <c r="AB1017" s="10" t="s">
        <v>2131</v>
      </c>
      <c r="AC1017" s="10" t="s">
        <v>2132</v>
      </c>
      <c r="AD1017" s="10" t="s">
        <v>132</v>
      </c>
      <c r="AE1017" s="10" t="s">
        <v>316</v>
      </c>
      <c r="AF1017" s="10" t="s">
        <v>260</v>
      </c>
      <c r="AG1017" s="10" t="s">
        <v>102</v>
      </c>
      <c r="AH1017" s="10" t="s">
        <v>102</v>
      </c>
      <c r="AI1017" s="10" t="s">
        <v>134</v>
      </c>
      <c r="AJ1017" s="10" t="s">
        <v>2056</v>
      </c>
      <c r="AK1017" s="10"/>
      <c r="AL1017" s="10"/>
      <c r="AM1017" s="10" t="s">
        <v>136</v>
      </c>
      <c r="AN1017" s="10" t="s">
        <v>700</v>
      </c>
      <c r="AO1017" s="10"/>
      <c r="AP1017" s="10"/>
      <c r="AQ1017" s="10"/>
      <c r="AR1017" s="10"/>
      <c r="AS1017" s="10"/>
      <c r="AT1017" s="10"/>
      <c r="AU1017" s="10"/>
      <c r="AV1017" s="10"/>
      <c r="AW1017" s="10" t="s">
        <v>108</v>
      </c>
      <c r="AX1017" s="10">
        <v>28</v>
      </c>
      <c r="AY1017" s="10" t="s">
        <v>2057</v>
      </c>
      <c r="AZ1017" s="10" t="s">
        <v>109</v>
      </c>
      <c r="BA1017" s="10" t="s">
        <v>2071</v>
      </c>
      <c r="BB1017" s="10">
        <v>20</v>
      </c>
      <c r="BC1017" s="10">
        <v>23</v>
      </c>
      <c r="BD1017" s="10">
        <v>1</v>
      </c>
      <c r="BE1017" s="10" t="s">
        <v>111</v>
      </c>
      <c r="BF1017" s="10">
        <v>21</v>
      </c>
      <c r="BG1017" s="10">
        <v>1</v>
      </c>
      <c r="BH1017" s="10"/>
      <c r="BI1017" s="10"/>
      <c r="BJ1017" s="10"/>
      <c r="BK1017" s="10"/>
      <c r="BL1017" s="10"/>
      <c r="BM1017" s="10"/>
      <c r="BN1017" s="10">
        <v>30</v>
      </c>
      <c r="BO1017" s="10"/>
      <c r="BP1017" s="10">
        <v>12</v>
      </c>
      <c r="BQ1017" s="10"/>
      <c r="BR1017" s="10" t="s">
        <v>2120</v>
      </c>
      <c r="BS1017" s="10"/>
      <c r="BT1017" s="10"/>
      <c r="BU1017" s="10"/>
      <c r="BV1017">
        <v>37.89</v>
      </c>
      <c r="BW1017">
        <v>1.825361614</v>
      </c>
      <c r="BX1017">
        <v>20</v>
      </c>
      <c r="BY1017">
        <v>38.630000000000003</v>
      </c>
      <c r="BZ1017">
        <v>1.1408510089999999</v>
      </c>
      <c r="CA1017">
        <v>20</v>
      </c>
      <c r="CB1017" t="s">
        <v>113</v>
      </c>
      <c r="CC1017" t="s">
        <v>2135</v>
      </c>
    </row>
    <row r="1018" spans="1:81" x14ac:dyDescent="0.25">
      <c r="A1018" s="10" t="s">
        <v>2023</v>
      </c>
      <c r="B1018">
        <v>1017</v>
      </c>
      <c r="C1018" s="10">
        <v>85</v>
      </c>
      <c r="D1018" s="10">
        <v>78</v>
      </c>
      <c r="E1018" s="10">
        <v>223</v>
      </c>
      <c r="F1018" s="10">
        <v>241</v>
      </c>
      <c r="G1018" s="10">
        <v>564</v>
      </c>
      <c r="H1018" s="10">
        <v>885</v>
      </c>
      <c r="I1018" s="10" t="s">
        <v>490</v>
      </c>
      <c r="J1018" s="10" t="s">
        <v>691</v>
      </c>
      <c r="K1018" s="10"/>
      <c r="L1018" s="10"/>
      <c r="M1018" s="10" t="s">
        <v>85</v>
      </c>
      <c r="N1018" s="10"/>
      <c r="O1018" s="10" t="s">
        <v>14</v>
      </c>
      <c r="P1018" s="10" t="s">
        <v>2127</v>
      </c>
      <c r="Q1018" s="10" t="s">
        <v>2128</v>
      </c>
      <c r="R1018" s="10">
        <v>2006</v>
      </c>
      <c r="S1018" s="10" t="s">
        <v>146</v>
      </c>
      <c r="T1018" s="10"/>
      <c r="U1018" s="10" t="s">
        <v>2129</v>
      </c>
      <c r="V1018" s="10" t="s">
        <v>2130</v>
      </c>
      <c r="W1018" s="10" t="s">
        <v>170</v>
      </c>
      <c r="X1018" s="10" t="s">
        <v>965</v>
      </c>
      <c r="Y1018" s="10" t="s">
        <v>966</v>
      </c>
      <c r="Z1018" s="10" t="s">
        <v>967</v>
      </c>
      <c r="AA1018" s="10" t="s">
        <v>968</v>
      </c>
      <c r="AB1018" s="10" t="s">
        <v>2131</v>
      </c>
      <c r="AC1018" s="10" t="s">
        <v>2132</v>
      </c>
      <c r="AD1018" s="10" t="s">
        <v>132</v>
      </c>
      <c r="AE1018" s="10" t="s">
        <v>316</v>
      </c>
      <c r="AF1018" s="10" t="s">
        <v>260</v>
      </c>
      <c r="AG1018" s="10" t="s">
        <v>102</v>
      </c>
      <c r="AH1018" s="10" t="s">
        <v>102</v>
      </c>
      <c r="AI1018" s="10" t="s">
        <v>134</v>
      </c>
      <c r="AJ1018" s="10" t="s">
        <v>2056</v>
      </c>
      <c r="AK1018" s="10"/>
      <c r="AL1018" s="10"/>
      <c r="AM1018" s="10" t="s">
        <v>136</v>
      </c>
      <c r="AN1018" s="10" t="s">
        <v>700</v>
      </c>
      <c r="AO1018" s="10"/>
      <c r="AP1018" s="10"/>
      <c r="AQ1018" s="10"/>
      <c r="AR1018" s="10"/>
      <c r="AS1018" s="10"/>
      <c r="AT1018" s="10"/>
      <c r="AU1018" s="10"/>
      <c r="AV1018" s="10"/>
      <c r="AW1018" s="10" t="s">
        <v>108</v>
      </c>
      <c r="AX1018" s="10">
        <v>28</v>
      </c>
      <c r="AY1018" s="10" t="s">
        <v>2057</v>
      </c>
      <c r="AZ1018" s="10" t="s">
        <v>109</v>
      </c>
      <c r="BA1018" s="10" t="s">
        <v>2071</v>
      </c>
      <c r="BB1018" s="10">
        <v>23</v>
      </c>
      <c r="BC1018" s="10">
        <v>25</v>
      </c>
      <c r="BD1018" s="10">
        <v>1</v>
      </c>
      <c r="BE1018" s="10" t="s">
        <v>111</v>
      </c>
      <c r="BF1018" s="10">
        <v>21</v>
      </c>
      <c r="BG1018" s="10">
        <v>1</v>
      </c>
      <c r="BH1018" s="10"/>
      <c r="BI1018" s="10"/>
      <c r="BJ1018" s="10"/>
      <c r="BK1018" s="10"/>
      <c r="BL1018" s="10"/>
      <c r="BM1018" s="10"/>
      <c r="BN1018" s="10">
        <v>30</v>
      </c>
      <c r="BO1018" s="10"/>
      <c r="BP1018" s="10">
        <v>12</v>
      </c>
      <c r="BQ1018" s="10"/>
      <c r="BR1018" s="10" t="s">
        <v>2120</v>
      </c>
      <c r="BS1018" s="10"/>
      <c r="BT1018" s="10"/>
      <c r="BU1018" s="10"/>
      <c r="BV1018">
        <v>38.630000000000003</v>
      </c>
      <c r="BW1018">
        <v>1.1408510089999999</v>
      </c>
      <c r="BX1018">
        <v>20</v>
      </c>
      <c r="BY1018">
        <v>39.06</v>
      </c>
      <c r="BZ1018">
        <v>0.45634040399999998</v>
      </c>
      <c r="CA1018">
        <v>20</v>
      </c>
      <c r="CB1018" t="s">
        <v>113</v>
      </c>
      <c r="CC1018" t="s">
        <v>2135</v>
      </c>
    </row>
    <row r="1019" spans="1:81" x14ac:dyDescent="0.25">
      <c r="A1019" s="10" t="s">
        <v>2023</v>
      </c>
      <c r="B1019">
        <v>1018</v>
      </c>
      <c r="C1019" s="10">
        <v>85</v>
      </c>
      <c r="D1019" s="10">
        <v>78</v>
      </c>
      <c r="E1019" s="10">
        <v>223</v>
      </c>
      <c r="F1019" s="10">
        <v>241</v>
      </c>
      <c r="G1019" s="10">
        <v>564</v>
      </c>
      <c r="H1019" s="10">
        <v>886</v>
      </c>
      <c r="I1019" s="10" t="s">
        <v>490</v>
      </c>
      <c r="J1019" s="10" t="s">
        <v>691</v>
      </c>
      <c r="K1019" s="10"/>
      <c r="L1019" s="10"/>
      <c r="M1019" s="10" t="s">
        <v>85</v>
      </c>
      <c r="N1019" s="10"/>
      <c r="O1019" s="10" t="s">
        <v>14</v>
      </c>
      <c r="P1019" s="10" t="s">
        <v>2127</v>
      </c>
      <c r="Q1019" s="10" t="s">
        <v>2128</v>
      </c>
      <c r="R1019" s="10">
        <v>2006</v>
      </c>
      <c r="S1019" s="10" t="s">
        <v>146</v>
      </c>
      <c r="T1019" s="10"/>
      <c r="U1019" s="10" t="s">
        <v>2129</v>
      </c>
      <c r="V1019" s="10" t="s">
        <v>2130</v>
      </c>
      <c r="W1019" s="10" t="s">
        <v>170</v>
      </c>
      <c r="X1019" s="10" t="s">
        <v>965</v>
      </c>
      <c r="Y1019" s="10" t="s">
        <v>966</v>
      </c>
      <c r="Z1019" s="10" t="s">
        <v>967</v>
      </c>
      <c r="AA1019" s="10" t="s">
        <v>968</v>
      </c>
      <c r="AB1019" s="10" t="s">
        <v>2131</v>
      </c>
      <c r="AC1019" s="10" t="s">
        <v>2132</v>
      </c>
      <c r="AD1019" s="10" t="s">
        <v>132</v>
      </c>
      <c r="AE1019" s="10" t="s">
        <v>316</v>
      </c>
      <c r="AF1019" s="10" t="s">
        <v>260</v>
      </c>
      <c r="AG1019" s="10" t="s">
        <v>102</v>
      </c>
      <c r="AH1019" s="10" t="s">
        <v>102</v>
      </c>
      <c r="AI1019" s="10" t="s">
        <v>134</v>
      </c>
      <c r="AJ1019" s="10" t="s">
        <v>2056</v>
      </c>
      <c r="AK1019" s="10"/>
      <c r="AL1019" s="10"/>
      <c r="AM1019" s="10" t="s">
        <v>136</v>
      </c>
      <c r="AN1019" s="10" t="s">
        <v>700</v>
      </c>
      <c r="AO1019" s="10"/>
      <c r="AP1019" s="10"/>
      <c r="AQ1019" s="10"/>
      <c r="AR1019" s="10"/>
      <c r="AS1019" s="10"/>
      <c r="AT1019" s="10"/>
      <c r="AU1019" s="10"/>
      <c r="AV1019" s="10"/>
      <c r="AW1019" s="10" t="s">
        <v>108</v>
      </c>
      <c r="AX1019" s="10">
        <v>28</v>
      </c>
      <c r="AY1019" s="10" t="s">
        <v>2057</v>
      </c>
      <c r="AZ1019" s="10" t="s">
        <v>109</v>
      </c>
      <c r="BA1019" s="10" t="s">
        <v>2071</v>
      </c>
      <c r="BB1019" s="10">
        <v>25</v>
      </c>
      <c r="BC1019" s="10">
        <v>28</v>
      </c>
      <c r="BD1019" s="10">
        <v>1</v>
      </c>
      <c r="BE1019" s="10" t="s">
        <v>111</v>
      </c>
      <c r="BF1019" s="10">
        <v>21</v>
      </c>
      <c r="BG1019" s="10">
        <v>1</v>
      </c>
      <c r="BH1019" s="10"/>
      <c r="BI1019" s="10"/>
      <c r="BJ1019" s="10"/>
      <c r="BK1019" s="10"/>
      <c r="BL1019" s="10"/>
      <c r="BM1019" s="10"/>
      <c r="BN1019" s="10">
        <v>30</v>
      </c>
      <c r="BO1019" s="10"/>
      <c r="BP1019" s="10">
        <v>12</v>
      </c>
      <c r="BQ1019" s="10"/>
      <c r="BR1019" s="10" t="s">
        <v>2120</v>
      </c>
      <c r="BS1019" s="10"/>
      <c r="BT1019" s="10"/>
      <c r="BU1019" s="10"/>
      <c r="BV1019">
        <v>39.06</v>
      </c>
      <c r="BW1019">
        <v>0.45634040399999998</v>
      </c>
      <c r="BX1019">
        <v>20</v>
      </c>
      <c r="BY1019">
        <v>40.630000000000003</v>
      </c>
      <c r="BZ1019">
        <v>1.1408510089999999</v>
      </c>
      <c r="CA1019">
        <v>20</v>
      </c>
      <c r="CB1019" t="s">
        <v>113</v>
      </c>
      <c r="CC1019" t="s">
        <v>2135</v>
      </c>
    </row>
    <row r="1020" spans="1:81" x14ac:dyDescent="0.25">
      <c r="A1020" s="10" t="s">
        <v>2023</v>
      </c>
      <c r="B1020">
        <v>1019</v>
      </c>
      <c r="C1020" s="10">
        <v>85</v>
      </c>
      <c r="D1020" s="10">
        <v>78</v>
      </c>
      <c r="E1020" s="10">
        <v>223</v>
      </c>
      <c r="F1020" s="10">
        <v>241</v>
      </c>
      <c r="G1020" s="10">
        <v>564</v>
      </c>
      <c r="H1020" s="10">
        <v>887</v>
      </c>
      <c r="I1020" s="10" t="s">
        <v>490</v>
      </c>
      <c r="J1020" s="10" t="s">
        <v>691</v>
      </c>
      <c r="K1020" s="10"/>
      <c r="L1020" s="10"/>
      <c r="M1020" s="10" t="s">
        <v>85</v>
      </c>
      <c r="N1020" s="10"/>
      <c r="O1020" s="10" t="s">
        <v>14</v>
      </c>
      <c r="P1020" s="10" t="s">
        <v>2127</v>
      </c>
      <c r="Q1020" s="10" t="s">
        <v>2128</v>
      </c>
      <c r="R1020" s="10">
        <v>2006</v>
      </c>
      <c r="S1020" s="10" t="s">
        <v>146</v>
      </c>
      <c r="T1020" s="10"/>
      <c r="U1020" s="10" t="s">
        <v>2129</v>
      </c>
      <c r="V1020" s="10" t="s">
        <v>2130</v>
      </c>
      <c r="W1020" s="10" t="s">
        <v>170</v>
      </c>
      <c r="X1020" s="10" t="s">
        <v>965</v>
      </c>
      <c r="Y1020" s="10" t="s">
        <v>966</v>
      </c>
      <c r="Z1020" s="10" t="s">
        <v>967</v>
      </c>
      <c r="AA1020" s="10" t="s">
        <v>968</v>
      </c>
      <c r="AB1020" s="10" t="s">
        <v>2131</v>
      </c>
      <c r="AC1020" s="10" t="s">
        <v>2132</v>
      </c>
      <c r="AD1020" s="10" t="s">
        <v>132</v>
      </c>
      <c r="AE1020" s="10" t="s">
        <v>316</v>
      </c>
      <c r="AF1020" s="10" t="s">
        <v>260</v>
      </c>
      <c r="AG1020" s="10" t="s">
        <v>102</v>
      </c>
      <c r="AH1020" s="10" t="s">
        <v>102</v>
      </c>
      <c r="AI1020" s="10" t="s">
        <v>134</v>
      </c>
      <c r="AJ1020" s="10" t="s">
        <v>2056</v>
      </c>
      <c r="AK1020" s="10"/>
      <c r="AL1020" s="10"/>
      <c r="AM1020" s="10" t="s">
        <v>136</v>
      </c>
      <c r="AN1020" s="10" t="s">
        <v>700</v>
      </c>
      <c r="AO1020" s="10"/>
      <c r="AP1020" s="10"/>
      <c r="AQ1020" s="10"/>
      <c r="AR1020" s="10"/>
      <c r="AS1020" s="10"/>
      <c r="AT1020" s="10"/>
      <c r="AU1020" s="10"/>
      <c r="AV1020" s="10"/>
      <c r="AW1020" s="10" t="s">
        <v>108</v>
      </c>
      <c r="AX1020" s="10">
        <v>28</v>
      </c>
      <c r="AY1020" s="10" t="s">
        <v>2057</v>
      </c>
      <c r="AZ1020" s="10" t="s">
        <v>109</v>
      </c>
      <c r="BA1020" s="10" t="s">
        <v>2071</v>
      </c>
      <c r="BB1020" s="10">
        <v>28</v>
      </c>
      <c r="BC1020" s="10">
        <v>30</v>
      </c>
      <c r="BD1020" s="10">
        <v>1</v>
      </c>
      <c r="BE1020" s="10" t="s">
        <v>111</v>
      </c>
      <c r="BF1020" s="10">
        <v>21</v>
      </c>
      <c r="BG1020" s="10">
        <v>1</v>
      </c>
      <c r="BH1020" s="10"/>
      <c r="BI1020" s="10"/>
      <c r="BJ1020" s="10"/>
      <c r="BK1020" s="10"/>
      <c r="BL1020" s="10"/>
      <c r="BM1020" s="10"/>
      <c r="BN1020" s="10">
        <v>30</v>
      </c>
      <c r="BO1020" s="10"/>
      <c r="BP1020" s="10">
        <v>12</v>
      </c>
      <c r="BQ1020" s="10"/>
      <c r="BR1020" s="10" t="s">
        <v>2120</v>
      </c>
      <c r="BS1020" s="10"/>
      <c r="BT1020" s="10"/>
      <c r="BU1020" s="10"/>
      <c r="BV1020">
        <v>40.630000000000003</v>
      </c>
      <c r="BW1020">
        <v>1.1408510089999999</v>
      </c>
      <c r="BX1020">
        <v>20</v>
      </c>
      <c r="BY1020">
        <v>41.89</v>
      </c>
      <c r="BZ1020">
        <v>0.68451060500000005</v>
      </c>
      <c r="CA1020">
        <v>20</v>
      </c>
      <c r="CB1020" t="s">
        <v>113</v>
      </c>
      <c r="CC1020" t="s">
        <v>2135</v>
      </c>
    </row>
    <row r="1021" spans="1:81" x14ac:dyDescent="0.25">
      <c r="A1021" s="10" t="s">
        <v>2023</v>
      </c>
      <c r="B1021">
        <v>1020</v>
      </c>
      <c r="C1021" s="10">
        <v>85</v>
      </c>
      <c r="D1021" s="10">
        <v>78</v>
      </c>
      <c r="E1021" s="10">
        <v>223</v>
      </c>
      <c r="F1021" s="10">
        <v>241</v>
      </c>
      <c r="G1021" s="10">
        <v>564</v>
      </c>
      <c r="H1021" s="10">
        <v>888</v>
      </c>
      <c r="I1021" s="10" t="s">
        <v>490</v>
      </c>
      <c r="J1021" s="10" t="s">
        <v>691</v>
      </c>
      <c r="K1021" s="10"/>
      <c r="L1021" s="10"/>
      <c r="M1021" s="10" t="s">
        <v>85</v>
      </c>
      <c r="N1021" s="10"/>
      <c r="O1021" s="10" t="s">
        <v>14</v>
      </c>
      <c r="P1021" s="10" t="s">
        <v>2127</v>
      </c>
      <c r="Q1021" s="10" t="s">
        <v>2128</v>
      </c>
      <c r="R1021" s="10">
        <v>2006</v>
      </c>
      <c r="S1021" s="10" t="s">
        <v>146</v>
      </c>
      <c r="T1021" s="10"/>
      <c r="U1021" s="10" t="s">
        <v>2129</v>
      </c>
      <c r="V1021" s="10" t="s">
        <v>2130</v>
      </c>
      <c r="W1021" s="10" t="s">
        <v>170</v>
      </c>
      <c r="X1021" s="10" t="s">
        <v>965</v>
      </c>
      <c r="Y1021" s="10" t="s">
        <v>966</v>
      </c>
      <c r="Z1021" s="10" t="s">
        <v>967</v>
      </c>
      <c r="AA1021" s="10" t="s">
        <v>968</v>
      </c>
      <c r="AB1021" s="10" t="s">
        <v>2131</v>
      </c>
      <c r="AC1021" s="10" t="s">
        <v>2132</v>
      </c>
      <c r="AD1021" s="10" t="s">
        <v>132</v>
      </c>
      <c r="AE1021" s="10" t="s">
        <v>316</v>
      </c>
      <c r="AF1021" s="10" t="s">
        <v>260</v>
      </c>
      <c r="AG1021" s="10" t="s">
        <v>102</v>
      </c>
      <c r="AH1021" s="10" t="s">
        <v>102</v>
      </c>
      <c r="AI1021" s="10" t="s">
        <v>134</v>
      </c>
      <c r="AJ1021" s="10" t="s">
        <v>2056</v>
      </c>
      <c r="AK1021" s="10"/>
      <c r="AL1021" s="10"/>
      <c r="AM1021" s="10" t="s">
        <v>136</v>
      </c>
      <c r="AN1021" s="10" t="s">
        <v>700</v>
      </c>
      <c r="AO1021" s="10"/>
      <c r="AP1021" s="10"/>
      <c r="AQ1021" s="10"/>
      <c r="AR1021" s="10"/>
      <c r="AS1021" s="10"/>
      <c r="AT1021" s="10"/>
      <c r="AU1021" s="10"/>
      <c r="AV1021" s="10"/>
      <c r="AW1021" s="10" t="s">
        <v>108</v>
      </c>
      <c r="AX1021" s="10">
        <v>28</v>
      </c>
      <c r="AY1021" s="10" t="s">
        <v>2057</v>
      </c>
      <c r="AZ1021" s="10" t="s">
        <v>109</v>
      </c>
      <c r="BA1021" s="10" t="s">
        <v>2071</v>
      </c>
      <c r="BB1021" s="10">
        <v>30</v>
      </c>
      <c r="BC1021" s="10">
        <v>33</v>
      </c>
      <c r="BD1021" s="10">
        <v>1</v>
      </c>
      <c r="BE1021" s="10" t="s">
        <v>111</v>
      </c>
      <c r="BF1021" s="10">
        <v>21</v>
      </c>
      <c r="BG1021" s="10">
        <v>1</v>
      </c>
      <c r="BH1021" s="10"/>
      <c r="BI1021" s="10"/>
      <c r="BJ1021" s="10"/>
      <c r="BK1021" s="10"/>
      <c r="BL1021" s="10"/>
      <c r="BM1021" s="10"/>
      <c r="BN1021" s="10">
        <v>30</v>
      </c>
      <c r="BO1021" s="10"/>
      <c r="BP1021" s="10">
        <v>12</v>
      </c>
      <c r="BQ1021" s="10"/>
      <c r="BR1021" s="10" t="s">
        <v>2120</v>
      </c>
      <c r="BS1021" s="10"/>
      <c r="BT1021" s="10"/>
      <c r="BU1021" s="10"/>
      <c r="BV1021">
        <v>41.89</v>
      </c>
      <c r="BW1021">
        <v>0.68451060500000005</v>
      </c>
      <c r="BX1021">
        <v>20</v>
      </c>
      <c r="BY1021">
        <v>43.18</v>
      </c>
      <c r="BZ1021">
        <v>0.91268080699999998</v>
      </c>
      <c r="CA1021">
        <v>20</v>
      </c>
      <c r="CB1021" t="s">
        <v>113</v>
      </c>
      <c r="CC1021" t="s">
        <v>2135</v>
      </c>
    </row>
    <row r="1022" spans="1:81" x14ac:dyDescent="0.25">
      <c r="A1022" s="10" t="s">
        <v>2046</v>
      </c>
      <c r="B1022">
        <v>1021</v>
      </c>
      <c r="C1022" s="10">
        <v>85</v>
      </c>
      <c r="D1022" s="10">
        <v>78</v>
      </c>
      <c r="E1022" s="10">
        <v>223</v>
      </c>
      <c r="F1022" s="10">
        <v>241</v>
      </c>
      <c r="G1022" s="10">
        <v>565</v>
      </c>
      <c r="H1022" s="10">
        <v>889</v>
      </c>
      <c r="I1022" s="10" t="s">
        <v>490</v>
      </c>
      <c r="J1022" s="10" t="s">
        <v>691</v>
      </c>
      <c r="K1022" s="10"/>
      <c r="L1022" s="10"/>
      <c r="M1022" s="10" t="s">
        <v>85</v>
      </c>
      <c r="N1022" s="10"/>
      <c r="O1022" s="10" t="s">
        <v>14</v>
      </c>
      <c r="P1022" s="10" t="s">
        <v>2127</v>
      </c>
      <c r="Q1022" s="10" t="s">
        <v>2128</v>
      </c>
      <c r="R1022" s="10">
        <v>2006</v>
      </c>
      <c r="S1022" s="10" t="s">
        <v>146</v>
      </c>
      <c r="T1022" s="10"/>
      <c r="U1022" s="10" t="s">
        <v>2129</v>
      </c>
      <c r="V1022" s="10" t="s">
        <v>2130</v>
      </c>
      <c r="W1022" s="10" t="s">
        <v>170</v>
      </c>
      <c r="X1022" s="10" t="s">
        <v>965</v>
      </c>
      <c r="Y1022" s="10" t="s">
        <v>966</v>
      </c>
      <c r="Z1022" s="10" t="s">
        <v>967</v>
      </c>
      <c r="AA1022" s="10" t="s">
        <v>968</v>
      </c>
      <c r="AB1022" s="10" t="s">
        <v>2131</v>
      </c>
      <c r="AC1022" s="10" t="s">
        <v>2132</v>
      </c>
      <c r="AD1022" s="10" t="s">
        <v>132</v>
      </c>
      <c r="AE1022" s="10" t="s">
        <v>316</v>
      </c>
      <c r="AF1022" s="10" t="s">
        <v>260</v>
      </c>
      <c r="AG1022" s="10" t="s">
        <v>102</v>
      </c>
      <c r="AH1022" s="10" t="s">
        <v>102</v>
      </c>
      <c r="AI1022" s="10" t="s">
        <v>134</v>
      </c>
      <c r="AJ1022" s="10" t="s">
        <v>2056</v>
      </c>
      <c r="AK1022" s="10"/>
      <c r="AL1022" s="10"/>
      <c r="AM1022" s="10" t="s">
        <v>136</v>
      </c>
      <c r="AN1022" s="10" t="s">
        <v>700</v>
      </c>
      <c r="AO1022" s="10"/>
      <c r="AP1022" s="10"/>
      <c r="AQ1022" s="10"/>
      <c r="AR1022" s="10"/>
      <c r="AS1022" s="10"/>
      <c r="AT1022" s="10"/>
      <c r="AU1022" s="10"/>
      <c r="AV1022" s="10"/>
      <c r="AW1022" s="10" t="s">
        <v>108</v>
      </c>
      <c r="AX1022" s="10">
        <v>28</v>
      </c>
      <c r="AY1022" s="10" t="s">
        <v>2057</v>
      </c>
      <c r="AZ1022" s="10" t="s">
        <v>109</v>
      </c>
      <c r="BA1022" s="10" t="s">
        <v>2071</v>
      </c>
      <c r="BB1022" s="10">
        <v>20</v>
      </c>
      <c r="BC1022" s="10">
        <v>23</v>
      </c>
      <c r="BD1022" s="10">
        <v>1</v>
      </c>
      <c r="BE1022" s="10" t="s">
        <v>111</v>
      </c>
      <c r="BF1022" s="10">
        <v>21</v>
      </c>
      <c r="BG1022" s="10">
        <v>1</v>
      </c>
      <c r="BH1022" s="10"/>
      <c r="BI1022" s="10"/>
      <c r="BJ1022" s="10"/>
      <c r="BK1022" s="10"/>
      <c r="BL1022" s="10"/>
      <c r="BM1022" s="10"/>
      <c r="BN1022" s="10">
        <v>35</v>
      </c>
      <c r="BO1022" s="10"/>
      <c r="BP1022" s="10">
        <v>12</v>
      </c>
      <c r="BQ1022" s="10"/>
      <c r="BR1022" s="10" t="s">
        <v>2120</v>
      </c>
      <c r="BS1022" s="10"/>
      <c r="BT1022" s="10"/>
      <c r="BU1022" s="10"/>
      <c r="BV1022">
        <v>38.799999999999997</v>
      </c>
      <c r="BW1022">
        <v>0.41</v>
      </c>
      <c r="BX1022">
        <v>20</v>
      </c>
      <c r="BY1022">
        <v>38.53</v>
      </c>
      <c r="BZ1022">
        <v>0.5</v>
      </c>
      <c r="CA1022">
        <v>20</v>
      </c>
      <c r="CB1022" t="s">
        <v>113</v>
      </c>
      <c r="CC1022" t="s">
        <v>2135</v>
      </c>
    </row>
    <row r="1023" spans="1:81" x14ac:dyDescent="0.25">
      <c r="A1023" s="10" t="s">
        <v>2046</v>
      </c>
      <c r="B1023">
        <v>1022</v>
      </c>
      <c r="C1023" s="10">
        <v>85</v>
      </c>
      <c r="D1023" s="10">
        <v>78</v>
      </c>
      <c r="E1023" s="10">
        <v>223</v>
      </c>
      <c r="F1023" s="10">
        <v>241</v>
      </c>
      <c r="G1023" s="10">
        <v>565</v>
      </c>
      <c r="H1023" s="10">
        <v>890</v>
      </c>
      <c r="I1023" s="10" t="s">
        <v>490</v>
      </c>
      <c r="J1023" s="10" t="s">
        <v>691</v>
      </c>
      <c r="K1023" s="10"/>
      <c r="L1023" s="10"/>
      <c r="M1023" s="10" t="s">
        <v>85</v>
      </c>
      <c r="N1023" s="10"/>
      <c r="O1023" s="10" t="s">
        <v>14</v>
      </c>
      <c r="P1023" s="10" t="s">
        <v>2127</v>
      </c>
      <c r="Q1023" s="10" t="s">
        <v>2128</v>
      </c>
      <c r="R1023" s="10">
        <v>2006</v>
      </c>
      <c r="S1023" s="10" t="s">
        <v>146</v>
      </c>
      <c r="T1023" s="10"/>
      <c r="U1023" s="10" t="s">
        <v>2129</v>
      </c>
      <c r="V1023" s="10" t="s">
        <v>2130</v>
      </c>
      <c r="W1023" s="10" t="s">
        <v>170</v>
      </c>
      <c r="X1023" s="10" t="s">
        <v>965</v>
      </c>
      <c r="Y1023" s="10" t="s">
        <v>966</v>
      </c>
      <c r="Z1023" s="10" t="s">
        <v>967</v>
      </c>
      <c r="AA1023" s="10" t="s">
        <v>968</v>
      </c>
      <c r="AB1023" s="10" t="s">
        <v>2131</v>
      </c>
      <c r="AC1023" s="10" t="s">
        <v>2132</v>
      </c>
      <c r="AD1023" s="10" t="s">
        <v>132</v>
      </c>
      <c r="AE1023" s="10" t="s">
        <v>316</v>
      </c>
      <c r="AF1023" s="10" t="s">
        <v>260</v>
      </c>
      <c r="AG1023" s="10" t="s">
        <v>102</v>
      </c>
      <c r="AH1023" s="10" t="s">
        <v>102</v>
      </c>
      <c r="AI1023" s="10" t="s">
        <v>134</v>
      </c>
      <c r="AJ1023" s="10" t="s">
        <v>2056</v>
      </c>
      <c r="AK1023" s="10"/>
      <c r="AL1023" s="10"/>
      <c r="AM1023" s="10" t="s">
        <v>136</v>
      </c>
      <c r="AN1023" s="10" t="s">
        <v>700</v>
      </c>
      <c r="AO1023" s="10"/>
      <c r="AP1023" s="10"/>
      <c r="AQ1023" s="10"/>
      <c r="AR1023" s="10"/>
      <c r="AS1023" s="10"/>
      <c r="AT1023" s="10"/>
      <c r="AU1023" s="10"/>
      <c r="AV1023" s="10"/>
      <c r="AW1023" s="10" t="s">
        <v>108</v>
      </c>
      <c r="AX1023" s="10">
        <v>28</v>
      </c>
      <c r="AY1023" s="10" t="s">
        <v>2057</v>
      </c>
      <c r="AZ1023" s="10" t="s">
        <v>109</v>
      </c>
      <c r="BA1023" s="10" t="s">
        <v>2071</v>
      </c>
      <c r="BB1023" s="10">
        <v>23</v>
      </c>
      <c r="BC1023" s="10">
        <v>25</v>
      </c>
      <c r="BD1023" s="10">
        <v>1</v>
      </c>
      <c r="BE1023" s="10" t="s">
        <v>111</v>
      </c>
      <c r="BF1023" s="10">
        <v>21</v>
      </c>
      <c r="BG1023" s="10">
        <v>1</v>
      </c>
      <c r="BH1023" s="10"/>
      <c r="BI1023" s="10"/>
      <c r="BJ1023" s="10"/>
      <c r="BK1023" s="10"/>
      <c r="BL1023" s="10"/>
      <c r="BM1023" s="10"/>
      <c r="BN1023" s="10">
        <v>35</v>
      </c>
      <c r="BO1023" s="10"/>
      <c r="BP1023" s="10">
        <v>12</v>
      </c>
      <c r="BQ1023" s="10"/>
      <c r="BR1023" s="10" t="s">
        <v>2120</v>
      </c>
      <c r="BS1023" s="10"/>
      <c r="BT1023" s="10"/>
      <c r="BU1023" s="10"/>
      <c r="BV1023">
        <v>38.53</v>
      </c>
      <c r="BW1023">
        <v>0.5</v>
      </c>
      <c r="BX1023">
        <v>20</v>
      </c>
      <c r="BY1023">
        <v>40.76</v>
      </c>
      <c r="BZ1023">
        <v>0.4</v>
      </c>
      <c r="CA1023">
        <v>20</v>
      </c>
      <c r="CB1023" t="s">
        <v>113</v>
      </c>
      <c r="CC1023" t="s">
        <v>2135</v>
      </c>
    </row>
    <row r="1024" spans="1:81" x14ac:dyDescent="0.25">
      <c r="A1024" s="10" t="s">
        <v>2046</v>
      </c>
      <c r="B1024">
        <v>1023</v>
      </c>
      <c r="C1024" s="10">
        <v>85</v>
      </c>
      <c r="D1024" s="10">
        <v>78</v>
      </c>
      <c r="E1024" s="10">
        <v>223</v>
      </c>
      <c r="F1024" s="10">
        <v>241</v>
      </c>
      <c r="G1024" s="10">
        <v>565</v>
      </c>
      <c r="H1024" s="10">
        <v>891</v>
      </c>
      <c r="I1024" s="10" t="s">
        <v>490</v>
      </c>
      <c r="J1024" s="10" t="s">
        <v>691</v>
      </c>
      <c r="K1024" s="10"/>
      <c r="L1024" s="10"/>
      <c r="M1024" s="10" t="s">
        <v>85</v>
      </c>
      <c r="N1024" s="10"/>
      <c r="O1024" s="10" t="s">
        <v>14</v>
      </c>
      <c r="P1024" s="10" t="s">
        <v>2127</v>
      </c>
      <c r="Q1024" s="10" t="s">
        <v>2128</v>
      </c>
      <c r="R1024" s="10">
        <v>2006</v>
      </c>
      <c r="S1024" s="10" t="s">
        <v>146</v>
      </c>
      <c r="T1024" s="10"/>
      <c r="U1024" s="10" t="s">
        <v>2129</v>
      </c>
      <c r="V1024" s="10" t="s">
        <v>2130</v>
      </c>
      <c r="W1024" s="10" t="s">
        <v>170</v>
      </c>
      <c r="X1024" s="10" t="s">
        <v>965</v>
      </c>
      <c r="Y1024" s="10" t="s">
        <v>966</v>
      </c>
      <c r="Z1024" s="10" t="s">
        <v>967</v>
      </c>
      <c r="AA1024" s="10" t="s">
        <v>968</v>
      </c>
      <c r="AB1024" s="10" t="s">
        <v>2131</v>
      </c>
      <c r="AC1024" s="10" t="s">
        <v>2132</v>
      </c>
      <c r="AD1024" s="10" t="s">
        <v>132</v>
      </c>
      <c r="AE1024" s="10" t="s">
        <v>316</v>
      </c>
      <c r="AF1024" s="10" t="s">
        <v>260</v>
      </c>
      <c r="AG1024" s="10" t="s">
        <v>102</v>
      </c>
      <c r="AH1024" s="10" t="s">
        <v>102</v>
      </c>
      <c r="AI1024" s="10" t="s">
        <v>134</v>
      </c>
      <c r="AJ1024" s="10" t="s">
        <v>2056</v>
      </c>
      <c r="AK1024" s="10"/>
      <c r="AL1024" s="10"/>
      <c r="AM1024" s="10" t="s">
        <v>136</v>
      </c>
      <c r="AN1024" s="10" t="s">
        <v>700</v>
      </c>
      <c r="AO1024" s="10"/>
      <c r="AP1024" s="10"/>
      <c r="AQ1024" s="10"/>
      <c r="AR1024" s="10"/>
      <c r="AS1024" s="10"/>
      <c r="AT1024" s="10"/>
      <c r="AU1024" s="10"/>
      <c r="AV1024" s="10"/>
      <c r="AW1024" s="10" t="s">
        <v>108</v>
      </c>
      <c r="AX1024" s="10">
        <v>28</v>
      </c>
      <c r="AY1024" s="10" t="s">
        <v>134</v>
      </c>
      <c r="AZ1024" s="10" t="s">
        <v>109</v>
      </c>
      <c r="BA1024" s="10" t="s">
        <v>2071</v>
      </c>
      <c r="BB1024" s="10">
        <v>25</v>
      </c>
      <c r="BC1024" s="10">
        <v>28</v>
      </c>
      <c r="BD1024" s="10">
        <v>1</v>
      </c>
      <c r="BE1024" s="10" t="s">
        <v>111</v>
      </c>
      <c r="BF1024" s="10">
        <v>21</v>
      </c>
      <c r="BG1024" s="10">
        <v>1</v>
      </c>
      <c r="BH1024" s="10"/>
      <c r="BI1024" s="10"/>
      <c r="BJ1024" s="10"/>
      <c r="BK1024" s="10"/>
      <c r="BL1024" s="10"/>
      <c r="BM1024" s="10"/>
      <c r="BN1024" s="10">
        <v>35</v>
      </c>
      <c r="BO1024" s="10"/>
      <c r="BP1024" s="10">
        <v>12</v>
      </c>
      <c r="BQ1024" s="10"/>
      <c r="BR1024" s="10" t="s">
        <v>2120</v>
      </c>
      <c r="BS1024" s="10"/>
      <c r="BT1024" s="10"/>
      <c r="BU1024" s="10" t="s">
        <v>2137</v>
      </c>
      <c r="BV1024">
        <v>40.76</v>
      </c>
      <c r="BW1024">
        <v>0.4</v>
      </c>
      <c r="BX1024">
        <v>20</v>
      </c>
      <c r="BY1024">
        <v>41.27</v>
      </c>
      <c r="BZ1024">
        <v>0.8</v>
      </c>
      <c r="CA1024">
        <v>20</v>
      </c>
      <c r="CB1024" t="s">
        <v>113</v>
      </c>
      <c r="CC1024" t="s">
        <v>2135</v>
      </c>
    </row>
    <row r="1025" spans="1:81" x14ac:dyDescent="0.25">
      <c r="A1025" s="10" t="s">
        <v>2046</v>
      </c>
      <c r="B1025">
        <v>1024</v>
      </c>
      <c r="C1025" s="10">
        <v>85</v>
      </c>
      <c r="D1025" s="10">
        <v>78</v>
      </c>
      <c r="E1025" s="10">
        <v>223</v>
      </c>
      <c r="F1025" s="10">
        <v>241</v>
      </c>
      <c r="G1025" s="10">
        <v>565</v>
      </c>
      <c r="H1025" s="10">
        <v>892</v>
      </c>
      <c r="I1025" s="10" t="s">
        <v>490</v>
      </c>
      <c r="J1025" s="10" t="s">
        <v>691</v>
      </c>
      <c r="K1025" s="10"/>
      <c r="L1025" s="10"/>
      <c r="M1025" s="10" t="s">
        <v>85</v>
      </c>
      <c r="N1025" s="10"/>
      <c r="O1025" s="10" t="s">
        <v>14</v>
      </c>
      <c r="P1025" s="10" t="s">
        <v>2127</v>
      </c>
      <c r="Q1025" s="10" t="s">
        <v>2128</v>
      </c>
      <c r="R1025" s="10">
        <v>2006</v>
      </c>
      <c r="S1025" s="10" t="s">
        <v>146</v>
      </c>
      <c r="T1025" s="10"/>
      <c r="U1025" s="10" t="s">
        <v>2129</v>
      </c>
      <c r="V1025" s="10" t="s">
        <v>2130</v>
      </c>
      <c r="W1025" s="10" t="s">
        <v>170</v>
      </c>
      <c r="X1025" s="10" t="s">
        <v>965</v>
      </c>
      <c r="Y1025" s="10" t="s">
        <v>966</v>
      </c>
      <c r="Z1025" s="10" t="s">
        <v>967</v>
      </c>
      <c r="AA1025" s="10" t="s">
        <v>968</v>
      </c>
      <c r="AB1025" s="10" t="s">
        <v>2131</v>
      </c>
      <c r="AC1025" s="10" t="s">
        <v>2132</v>
      </c>
      <c r="AD1025" s="10" t="s">
        <v>132</v>
      </c>
      <c r="AE1025" s="10" t="s">
        <v>316</v>
      </c>
      <c r="AF1025" s="10" t="s">
        <v>260</v>
      </c>
      <c r="AG1025" s="10" t="s">
        <v>102</v>
      </c>
      <c r="AH1025" s="10" t="s">
        <v>102</v>
      </c>
      <c r="AI1025" s="10" t="s">
        <v>134</v>
      </c>
      <c r="AJ1025" s="10" t="s">
        <v>2056</v>
      </c>
      <c r="AK1025" s="10"/>
      <c r="AL1025" s="10"/>
      <c r="AM1025" s="10" t="s">
        <v>136</v>
      </c>
      <c r="AN1025" s="10" t="s">
        <v>700</v>
      </c>
      <c r="AO1025" s="10"/>
      <c r="AP1025" s="10"/>
      <c r="AQ1025" s="10"/>
      <c r="AR1025" s="10"/>
      <c r="AS1025" s="10"/>
      <c r="AT1025" s="10"/>
      <c r="AU1025" s="10"/>
      <c r="AV1025" s="10"/>
      <c r="AW1025" s="10" t="s">
        <v>108</v>
      </c>
      <c r="AX1025" s="10">
        <v>28</v>
      </c>
      <c r="AY1025" s="10" t="s">
        <v>134</v>
      </c>
      <c r="AZ1025" s="10" t="s">
        <v>109</v>
      </c>
      <c r="BA1025" s="10" t="s">
        <v>2071</v>
      </c>
      <c r="BB1025" s="10">
        <v>28</v>
      </c>
      <c r="BC1025" s="10">
        <v>30</v>
      </c>
      <c r="BD1025" s="10">
        <v>1</v>
      </c>
      <c r="BE1025" s="10" t="s">
        <v>111</v>
      </c>
      <c r="BF1025" s="10">
        <v>21</v>
      </c>
      <c r="BG1025" s="10">
        <v>1</v>
      </c>
      <c r="BH1025" s="10"/>
      <c r="BI1025" s="10"/>
      <c r="BJ1025" s="10"/>
      <c r="BK1025" s="10"/>
      <c r="BL1025" s="10"/>
      <c r="BM1025" s="10"/>
      <c r="BN1025" s="10">
        <v>35</v>
      </c>
      <c r="BO1025" s="10"/>
      <c r="BP1025" s="10">
        <v>12</v>
      </c>
      <c r="BQ1025" s="10"/>
      <c r="BR1025" s="10" t="s">
        <v>2120</v>
      </c>
      <c r="BS1025" s="10"/>
      <c r="BT1025" s="10"/>
      <c r="BU1025" s="10" t="s">
        <v>2137</v>
      </c>
      <c r="BV1025">
        <v>41.27</v>
      </c>
      <c r="BW1025">
        <v>0.8</v>
      </c>
      <c r="BX1025">
        <v>20</v>
      </c>
      <c r="BY1025">
        <v>42.35</v>
      </c>
      <c r="BZ1025">
        <v>0.4</v>
      </c>
      <c r="CA1025">
        <v>20</v>
      </c>
      <c r="CB1025" t="s">
        <v>113</v>
      </c>
      <c r="CC1025" t="s">
        <v>2135</v>
      </c>
    </row>
    <row r="1026" spans="1:81" x14ac:dyDescent="0.25">
      <c r="A1026" s="10" t="s">
        <v>2046</v>
      </c>
      <c r="B1026">
        <v>1025</v>
      </c>
      <c r="C1026" s="10">
        <v>85</v>
      </c>
      <c r="D1026" s="10">
        <v>78</v>
      </c>
      <c r="E1026" s="10">
        <v>223</v>
      </c>
      <c r="F1026" s="10">
        <v>241</v>
      </c>
      <c r="G1026" s="10">
        <v>565</v>
      </c>
      <c r="H1026" s="10">
        <v>893</v>
      </c>
      <c r="I1026" s="10" t="s">
        <v>490</v>
      </c>
      <c r="J1026" s="10" t="s">
        <v>691</v>
      </c>
      <c r="K1026" s="10"/>
      <c r="L1026" s="10"/>
      <c r="M1026" s="10" t="s">
        <v>85</v>
      </c>
      <c r="N1026" s="10"/>
      <c r="O1026" s="10" t="s">
        <v>14</v>
      </c>
      <c r="P1026" s="10" t="s">
        <v>2127</v>
      </c>
      <c r="Q1026" s="10" t="s">
        <v>2128</v>
      </c>
      <c r="R1026" s="10">
        <v>2006</v>
      </c>
      <c r="S1026" s="10" t="s">
        <v>146</v>
      </c>
      <c r="T1026" s="10"/>
      <c r="U1026" s="10" t="s">
        <v>2129</v>
      </c>
      <c r="V1026" s="10" t="s">
        <v>2130</v>
      </c>
      <c r="W1026" s="10" t="s">
        <v>170</v>
      </c>
      <c r="X1026" s="10" t="s">
        <v>965</v>
      </c>
      <c r="Y1026" s="10" t="s">
        <v>966</v>
      </c>
      <c r="Z1026" s="10" t="s">
        <v>967</v>
      </c>
      <c r="AA1026" s="10" t="s">
        <v>968</v>
      </c>
      <c r="AB1026" s="10" t="s">
        <v>2131</v>
      </c>
      <c r="AC1026" s="10" t="s">
        <v>2132</v>
      </c>
      <c r="AD1026" s="10" t="s">
        <v>132</v>
      </c>
      <c r="AE1026" s="10" t="s">
        <v>316</v>
      </c>
      <c r="AF1026" s="10" t="s">
        <v>260</v>
      </c>
      <c r="AG1026" s="10" t="s">
        <v>102</v>
      </c>
      <c r="AH1026" s="10" t="s">
        <v>102</v>
      </c>
      <c r="AI1026" s="10" t="s">
        <v>134</v>
      </c>
      <c r="AJ1026" s="10" t="s">
        <v>2056</v>
      </c>
      <c r="AK1026" s="10"/>
      <c r="AL1026" s="10"/>
      <c r="AM1026" s="10" t="s">
        <v>136</v>
      </c>
      <c r="AN1026" s="10" t="s">
        <v>700</v>
      </c>
      <c r="AO1026" s="10"/>
      <c r="AP1026" s="10"/>
      <c r="AQ1026" s="10"/>
      <c r="AR1026" s="10"/>
      <c r="AS1026" s="10"/>
      <c r="AT1026" s="10"/>
      <c r="AU1026" s="10"/>
      <c r="AV1026" s="10"/>
      <c r="AW1026" s="10" t="s">
        <v>108</v>
      </c>
      <c r="AX1026" s="10">
        <v>28</v>
      </c>
      <c r="AY1026" s="10" t="s">
        <v>2057</v>
      </c>
      <c r="AZ1026" s="10" t="s">
        <v>109</v>
      </c>
      <c r="BA1026" s="10" t="s">
        <v>2071</v>
      </c>
      <c r="BB1026" s="10">
        <v>30</v>
      </c>
      <c r="BC1026" s="10">
        <v>33</v>
      </c>
      <c r="BD1026" s="10">
        <v>1</v>
      </c>
      <c r="BE1026" s="10" t="s">
        <v>111</v>
      </c>
      <c r="BF1026" s="10">
        <v>21</v>
      </c>
      <c r="BG1026" s="10">
        <v>1</v>
      </c>
      <c r="BH1026" s="10"/>
      <c r="BI1026" s="10"/>
      <c r="BJ1026" s="10"/>
      <c r="BK1026" s="10"/>
      <c r="BL1026" s="10"/>
      <c r="BM1026" s="10"/>
      <c r="BN1026" s="10">
        <v>35</v>
      </c>
      <c r="BO1026" s="10"/>
      <c r="BP1026" s="10">
        <v>12</v>
      </c>
      <c r="BQ1026" s="10"/>
      <c r="BR1026" s="10" t="s">
        <v>2120</v>
      </c>
      <c r="BS1026" s="10"/>
      <c r="BT1026" s="10"/>
      <c r="BU1026" s="10"/>
      <c r="BV1026">
        <v>42.35</v>
      </c>
      <c r="BW1026">
        <v>0.4</v>
      </c>
      <c r="BX1026">
        <v>20</v>
      </c>
      <c r="BY1026">
        <v>43</v>
      </c>
      <c r="BZ1026">
        <v>0</v>
      </c>
      <c r="CA1026">
        <v>20</v>
      </c>
      <c r="CB1026" t="s">
        <v>113</v>
      </c>
      <c r="CC1026" t="s">
        <v>2135</v>
      </c>
    </row>
    <row r="1027" spans="1:81" x14ac:dyDescent="0.25">
      <c r="A1027" s="10" t="s">
        <v>2023</v>
      </c>
      <c r="B1027">
        <v>1026</v>
      </c>
      <c r="C1027" s="10">
        <v>85</v>
      </c>
      <c r="D1027" s="10">
        <v>78</v>
      </c>
      <c r="E1027" s="10">
        <v>223</v>
      </c>
      <c r="F1027" s="10">
        <v>241</v>
      </c>
      <c r="G1027" s="10">
        <v>566</v>
      </c>
      <c r="H1027" s="10">
        <v>894</v>
      </c>
      <c r="I1027" s="10" t="s">
        <v>490</v>
      </c>
      <c r="J1027" s="10" t="s">
        <v>691</v>
      </c>
      <c r="K1027" s="10"/>
      <c r="L1027" s="10"/>
      <c r="M1027" s="10" t="s">
        <v>85</v>
      </c>
      <c r="N1027" s="10"/>
      <c r="O1027" s="10" t="s">
        <v>14</v>
      </c>
      <c r="P1027" s="10" t="s">
        <v>2127</v>
      </c>
      <c r="Q1027" s="10" t="s">
        <v>2128</v>
      </c>
      <c r="R1027" s="10">
        <v>2006</v>
      </c>
      <c r="S1027" s="10" t="s">
        <v>146</v>
      </c>
      <c r="T1027" s="10"/>
      <c r="U1027" s="10" t="s">
        <v>2129</v>
      </c>
      <c r="V1027" s="10" t="s">
        <v>2130</v>
      </c>
      <c r="W1027" s="10" t="s">
        <v>170</v>
      </c>
      <c r="X1027" s="10" t="s">
        <v>965</v>
      </c>
      <c r="Y1027" s="10" t="s">
        <v>966</v>
      </c>
      <c r="Z1027" s="10" t="s">
        <v>967</v>
      </c>
      <c r="AA1027" s="10" t="s">
        <v>968</v>
      </c>
      <c r="AB1027" s="10" t="s">
        <v>2131</v>
      </c>
      <c r="AC1027" s="10" t="s">
        <v>2132</v>
      </c>
      <c r="AD1027" s="10" t="s">
        <v>132</v>
      </c>
      <c r="AE1027" s="10" t="s">
        <v>316</v>
      </c>
      <c r="AF1027" s="10" t="s">
        <v>260</v>
      </c>
      <c r="AG1027" s="10" t="s">
        <v>102</v>
      </c>
      <c r="AH1027" s="10" t="s">
        <v>102</v>
      </c>
      <c r="AI1027" s="10" t="s">
        <v>134</v>
      </c>
      <c r="AJ1027" s="10" t="s">
        <v>2056</v>
      </c>
      <c r="AK1027" s="10"/>
      <c r="AL1027" s="10"/>
      <c r="AM1027" s="10" t="s">
        <v>136</v>
      </c>
      <c r="AN1027" s="10" t="s">
        <v>700</v>
      </c>
      <c r="AO1027" s="10"/>
      <c r="AP1027" s="10"/>
      <c r="AQ1027" s="10"/>
      <c r="AR1027" s="10"/>
      <c r="AS1027" s="10"/>
      <c r="AT1027" s="10"/>
      <c r="AU1027" s="10"/>
      <c r="AV1027" s="10"/>
      <c r="AW1027" s="10" t="s">
        <v>108</v>
      </c>
      <c r="AX1027" s="10">
        <v>28</v>
      </c>
      <c r="AY1027" s="10" t="s">
        <v>103</v>
      </c>
      <c r="AZ1027" s="10" t="s">
        <v>109</v>
      </c>
      <c r="BA1027" s="10" t="s">
        <v>2071</v>
      </c>
      <c r="BB1027" s="10">
        <v>20</v>
      </c>
      <c r="BC1027" s="10">
        <v>23</v>
      </c>
      <c r="BD1027" s="10">
        <v>1</v>
      </c>
      <c r="BE1027" s="10" t="s">
        <v>111</v>
      </c>
      <c r="BF1027" s="10">
        <v>21</v>
      </c>
      <c r="BG1027" s="10">
        <v>1</v>
      </c>
      <c r="BH1027" s="10"/>
      <c r="BI1027" s="10"/>
      <c r="BJ1027" s="10"/>
      <c r="BK1027" s="10"/>
      <c r="BL1027" s="10"/>
      <c r="BM1027" s="10"/>
      <c r="BN1027" s="10">
        <v>40</v>
      </c>
      <c r="BO1027" s="10"/>
      <c r="BP1027" s="10">
        <v>12</v>
      </c>
      <c r="BQ1027" s="10"/>
      <c r="BR1027" s="10" t="s">
        <v>2120</v>
      </c>
      <c r="BS1027" s="10"/>
      <c r="BT1027" s="10"/>
      <c r="BU1027" s="10"/>
      <c r="BV1027">
        <v>38.47</v>
      </c>
      <c r="BW1027">
        <v>2.053531816</v>
      </c>
      <c r="BX1027">
        <v>20</v>
      </c>
      <c r="BY1027">
        <v>38.369999999999997</v>
      </c>
      <c r="BZ1027">
        <v>1.1408510089999999</v>
      </c>
      <c r="CA1027">
        <v>20</v>
      </c>
      <c r="CB1027" t="s">
        <v>113</v>
      </c>
      <c r="CC1027" t="s">
        <v>2135</v>
      </c>
    </row>
    <row r="1028" spans="1:81" x14ac:dyDescent="0.25">
      <c r="A1028" s="10" t="s">
        <v>2023</v>
      </c>
      <c r="B1028">
        <v>1027</v>
      </c>
      <c r="C1028" s="10">
        <v>85</v>
      </c>
      <c r="D1028" s="10">
        <v>78</v>
      </c>
      <c r="E1028" s="10">
        <v>223</v>
      </c>
      <c r="F1028" s="10">
        <v>241</v>
      </c>
      <c r="G1028" s="10">
        <v>566</v>
      </c>
      <c r="H1028" s="10">
        <v>895</v>
      </c>
      <c r="I1028" s="10" t="s">
        <v>490</v>
      </c>
      <c r="J1028" s="10" t="s">
        <v>691</v>
      </c>
      <c r="K1028" s="10"/>
      <c r="L1028" s="10"/>
      <c r="M1028" s="10" t="s">
        <v>85</v>
      </c>
      <c r="N1028" s="10"/>
      <c r="O1028" s="10" t="s">
        <v>14</v>
      </c>
      <c r="P1028" s="10" t="s">
        <v>2127</v>
      </c>
      <c r="Q1028" s="10" t="s">
        <v>2128</v>
      </c>
      <c r="R1028" s="10">
        <v>2006</v>
      </c>
      <c r="S1028" s="10" t="s">
        <v>146</v>
      </c>
      <c r="T1028" s="10"/>
      <c r="U1028" s="10" t="s">
        <v>2129</v>
      </c>
      <c r="V1028" s="10" t="s">
        <v>2130</v>
      </c>
      <c r="W1028" s="10" t="s">
        <v>170</v>
      </c>
      <c r="X1028" s="10" t="s">
        <v>965</v>
      </c>
      <c r="Y1028" s="10" t="s">
        <v>966</v>
      </c>
      <c r="Z1028" s="10" t="s">
        <v>967</v>
      </c>
      <c r="AA1028" s="10" t="s">
        <v>968</v>
      </c>
      <c r="AB1028" s="10" t="s">
        <v>2131</v>
      </c>
      <c r="AC1028" s="10" t="s">
        <v>2132</v>
      </c>
      <c r="AD1028" s="10" t="s">
        <v>132</v>
      </c>
      <c r="AE1028" s="10" t="s">
        <v>316</v>
      </c>
      <c r="AF1028" s="10" t="s">
        <v>260</v>
      </c>
      <c r="AG1028" s="10" t="s">
        <v>102</v>
      </c>
      <c r="AH1028" s="10" t="s">
        <v>102</v>
      </c>
      <c r="AI1028" s="10" t="s">
        <v>134</v>
      </c>
      <c r="AJ1028" s="10" t="s">
        <v>2056</v>
      </c>
      <c r="AK1028" s="10"/>
      <c r="AL1028" s="10"/>
      <c r="AM1028" s="10" t="s">
        <v>136</v>
      </c>
      <c r="AN1028" s="10" t="s">
        <v>700</v>
      </c>
      <c r="AO1028" s="10"/>
      <c r="AP1028" s="10"/>
      <c r="AQ1028" s="10"/>
      <c r="AR1028" s="10"/>
      <c r="AS1028" s="10"/>
      <c r="AT1028" s="10"/>
      <c r="AU1028" s="10"/>
      <c r="AV1028" s="10"/>
      <c r="AW1028" s="10" t="s">
        <v>108</v>
      </c>
      <c r="AX1028" s="10">
        <v>28</v>
      </c>
      <c r="AY1028" s="10" t="s">
        <v>103</v>
      </c>
      <c r="AZ1028" s="10" t="s">
        <v>109</v>
      </c>
      <c r="BA1028" s="10" t="s">
        <v>2071</v>
      </c>
      <c r="BB1028" s="10">
        <v>23</v>
      </c>
      <c r="BC1028" s="10">
        <v>25</v>
      </c>
      <c r="BD1028" s="10">
        <v>1</v>
      </c>
      <c r="BE1028" s="10" t="s">
        <v>111</v>
      </c>
      <c r="BF1028" s="10">
        <v>21</v>
      </c>
      <c r="BG1028" s="10">
        <v>1</v>
      </c>
      <c r="BH1028" s="10"/>
      <c r="BI1028" s="10"/>
      <c r="BJ1028" s="10"/>
      <c r="BK1028" s="10"/>
      <c r="BL1028" s="10"/>
      <c r="BM1028" s="10"/>
      <c r="BN1028" s="10">
        <v>40</v>
      </c>
      <c r="BO1028" s="10"/>
      <c r="BP1028" s="10">
        <v>12</v>
      </c>
      <c r="BQ1028" s="10"/>
      <c r="BR1028" s="10" t="s">
        <v>2120</v>
      </c>
      <c r="BS1028" s="10"/>
      <c r="BT1028" s="10" t="s">
        <v>452</v>
      </c>
      <c r="BU1028" s="10"/>
      <c r="BV1028">
        <v>38.369999999999997</v>
      </c>
      <c r="BW1028">
        <v>1.1408510089999999</v>
      </c>
      <c r="BX1028">
        <v>20</v>
      </c>
      <c r="BY1028">
        <v>40</v>
      </c>
      <c r="BZ1028" t="s">
        <v>454</v>
      </c>
      <c r="CA1028">
        <v>20</v>
      </c>
      <c r="CB1028" t="s">
        <v>113</v>
      </c>
      <c r="CC1028" t="s">
        <v>2134</v>
      </c>
    </row>
    <row r="1029" spans="1:81" x14ac:dyDescent="0.25">
      <c r="A1029" s="10" t="s">
        <v>2023</v>
      </c>
      <c r="B1029">
        <v>1028</v>
      </c>
      <c r="C1029" s="10">
        <v>85</v>
      </c>
      <c r="D1029" s="10">
        <v>78</v>
      </c>
      <c r="E1029" s="10">
        <v>223</v>
      </c>
      <c r="F1029" s="10">
        <v>241</v>
      </c>
      <c r="G1029" s="10">
        <v>566</v>
      </c>
      <c r="H1029" s="10">
        <v>896</v>
      </c>
      <c r="I1029" s="10" t="s">
        <v>490</v>
      </c>
      <c r="J1029" s="10" t="s">
        <v>691</v>
      </c>
      <c r="K1029" s="10"/>
      <c r="L1029" s="10"/>
      <c r="M1029" s="10" t="s">
        <v>85</v>
      </c>
      <c r="N1029" s="10"/>
      <c r="O1029" s="10" t="s">
        <v>14</v>
      </c>
      <c r="P1029" s="10" t="s">
        <v>2127</v>
      </c>
      <c r="Q1029" s="10" t="s">
        <v>2128</v>
      </c>
      <c r="R1029" s="10">
        <v>2006</v>
      </c>
      <c r="S1029" s="10" t="s">
        <v>146</v>
      </c>
      <c r="T1029" s="10"/>
      <c r="U1029" s="10" t="s">
        <v>2129</v>
      </c>
      <c r="V1029" s="10" t="s">
        <v>2130</v>
      </c>
      <c r="W1029" s="10" t="s">
        <v>170</v>
      </c>
      <c r="X1029" s="10" t="s">
        <v>965</v>
      </c>
      <c r="Y1029" s="10" t="s">
        <v>966</v>
      </c>
      <c r="Z1029" s="10" t="s">
        <v>967</v>
      </c>
      <c r="AA1029" s="10" t="s">
        <v>968</v>
      </c>
      <c r="AB1029" s="10" t="s">
        <v>2131</v>
      </c>
      <c r="AC1029" s="10" t="s">
        <v>2132</v>
      </c>
      <c r="AD1029" s="10" t="s">
        <v>132</v>
      </c>
      <c r="AE1029" s="10" t="s">
        <v>316</v>
      </c>
      <c r="AF1029" s="10" t="s">
        <v>260</v>
      </c>
      <c r="AG1029" s="10" t="s">
        <v>102</v>
      </c>
      <c r="AH1029" s="10" t="s">
        <v>102</v>
      </c>
      <c r="AI1029" s="10" t="s">
        <v>134</v>
      </c>
      <c r="AJ1029" s="10" t="s">
        <v>2056</v>
      </c>
      <c r="AK1029" s="10"/>
      <c r="AL1029" s="10"/>
      <c r="AM1029" s="10" t="s">
        <v>136</v>
      </c>
      <c r="AN1029" s="10" t="s">
        <v>700</v>
      </c>
      <c r="AO1029" s="10"/>
      <c r="AP1029" s="10"/>
      <c r="AQ1029" s="10"/>
      <c r="AR1029" s="10"/>
      <c r="AS1029" s="10"/>
      <c r="AT1029" s="10"/>
      <c r="AU1029" s="10"/>
      <c r="AV1029" s="10"/>
      <c r="AW1029" s="10" t="s">
        <v>108</v>
      </c>
      <c r="AX1029" s="10">
        <v>28</v>
      </c>
      <c r="AY1029" s="10" t="s">
        <v>103</v>
      </c>
      <c r="AZ1029" s="10" t="s">
        <v>109</v>
      </c>
      <c r="BA1029" s="10" t="s">
        <v>2071</v>
      </c>
      <c r="BB1029" s="10">
        <v>25</v>
      </c>
      <c r="BC1029" s="10">
        <v>28</v>
      </c>
      <c r="BD1029" s="10">
        <v>1</v>
      </c>
      <c r="BE1029" s="10" t="s">
        <v>111</v>
      </c>
      <c r="BF1029" s="10">
        <v>21</v>
      </c>
      <c r="BG1029" s="10">
        <v>1</v>
      </c>
      <c r="BH1029" s="15"/>
      <c r="BI1029" s="10"/>
      <c r="BJ1029" s="10"/>
      <c r="BK1029" s="10"/>
      <c r="BL1029" s="10"/>
      <c r="BM1029" s="10"/>
      <c r="BN1029" s="10">
        <v>40</v>
      </c>
      <c r="BO1029" s="10"/>
      <c r="BP1029" s="10">
        <v>12</v>
      </c>
      <c r="BQ1029" s="10"/>
      <c r="BR1029" s="10" t="s">
        <v>2120</v>
      </c>
      <c r="BS1029" s="10"/>
      <c r="BT1029" s="10" t="s">
        <v>452</v>
      </c>
      <c r="BU1029" s="10"/>
      <c r="BV1029">
        <v>40</v>
      </c>
      <c r="BW1029" t="s">
        <v>454</v>
      </c>
      <c r="BX1029">
        <v>20</v>
      </c>
      <c r="BY1029">
        <v>41.5</v>
      </c>
      <c r="BZ1029">
        <v>1.1408510089999999</v>
      </c>
      <c r="CA1029">
        <v>20</v>
      </c>
      <c r="CB1029" t="s">
        <v>113</v>
      </c>
      <c r="CC1029" t="s">
        <v>2134</v>
      </c>
    </row>
    <row r="1030" spans="1:81" x14ac:dyDescent="0.25">
      <c r="A1030" s="10" t="s">
        <v>2023</v>
      </c>
      <c r="B1030">
        <v>1029</v>
      </c>
      <c r="C1030" s="10">
        <v>85</v>
      </c>
      <c r="D1030" s="10">
        <v>78</v>
      </c>
      <c r="E1030" s="10">
        <v>223</v>
      </c>
      <c r="F1030" s="10">
        <v>241</v>
      </c>
      <c r="G1030" s="10">
        <v>566</v>
      </c>
      <c r="H1030" s="10">
        <v>897</v>
      </c>
      <c r="I1030" s="10" t="s">
        <v>490</v>
      </c>
      <c r="J1030" s="10" t="s">
        <v>691</v>
      </c>
      <c r="K1030" s="10"/>
      <c r="L1030" s="10"/>
      <c r="M1030" s="10" t="s">
        <v>85</v>
      </c>
      <c r="N1030" s="10"/>
      <c r="O1030" s="10" t="s">
        <v>14</v>
      </c>
      <c r="P1030" s="10" t="s">
        <v>2127</v>
      </c>
      <c r="Q1030" s="10" t="s">
        <v>2128</v>
      </c>
      <c r="R1030" s="10">
        <v>2006</v>
      </c>
      <c r="S1030" s="10" t="s">
        <v>146</v>
      </c>
      <c r="T1030" s="10"/>
      <c r="U1030" s="10" t="s">
        <v>2129</v>
      </c>
      <c r="V1030" s="10" t="s">
        <v>2130</v>
      </c>
      <c r="W1030" s="10" t="s">
        <v>170</v>
      </c>
      <c r="X1030" s="10" t="s">
        <v>965</v>
      </c>
      <c r="Y1030" s="10" t="s">
        <v>966</v>
      </c>
      <c r="Z1030" s="10" t="s">
        <v>967</v>
      </c>
      <c r="AA1030" s="10" t="s">
        <v>968</v>
      </c>
      <c r="AB1030" s="10" t="s">
        <v>2131</v>
      </c>
      <c r="AC1030" s="10" t="s">
        <v>2132</v>
      </c>
      <c r="AD1030" s="10" t="s">
        <v>132</v>
      </c>
      <c r="AE1030" s="10" t="s">
        <v>316</v>
      </c>
      <c r="AF1030" s="10" t="s">
        <v>260</v>
      </c>
      <c r="AG1030" s="10" t="s">
        <v>102</v>
      </c>
      <c r="AH1030" s="10" t="s">
        <v>102</v>
      </c>
      <c r="AI1030" s="10" t="s">
        <v>134</v>
      </c>
      <c r="AJ1030" s="10" t="s">
        <v>2056</v>
      </c>
      <c r="AK1030" s="10"/>
      <c r="AL1030" s="10"/>
      <c r="AM1030" s="10" t="s">
        <v>136</v>
      </c>
      <c r="AN1030" s="10" t="s">
        <v>700</v>
      </c>
      <c r="AO1030" s="10"/>
      <c r="AP1030" s="10"/>
      <c r="AQ1030" s="10"/>
      <c r="AR1030" s="10"/>
      <c r="AS1030" s="10"/>
      <c r="AT1030" s="10"/>
      <c r="AU1030" s="10"/>
      <c r="AV1030" s="10"/>
      <c r="AW1030" s="10" t="s">
        <v>108</v>
      </c>
      <c r="AX1030" s="10">
        <v>28</v>
      </c>
      <c r="AY1030" s="10" t="s">
        <v>103</v>
      </c>
      <c r="AZ1030" s="10" t="s">
        <v>109</v>
      </c>
      <c r="BA1030" s="10" t="s">
        <v>2071</v>
      </c>
      <c r="BB1030" s="10">
        <v>28</v>
      </c>
      <c r="BC1030" s="10">
        <v>30</v>
      </c>
      <c r="BD1030" s="10">
        <v>1</v>
      </c>
      <c r="BE1030" s="10" t="s">
        <v>111</v>
      </c>
      <c r="BF1030" s="10">
        <v>21</v>
      </c>
      <c r="BG1030" s="10">
        <v>1</v>
      </c>
      <c r="BH1030" s="10"/>
      <c r="BI1030" s="10"/>
      <c r="BJ1030" s="10"/>
      <c r="BK1030" s="10"/>
      <c r="BL1030" s="10"/>
      <c r="BM1030" s="10"/>
      <c r="BN1030" s="10">
        <v>40</v>
      </c>
      <c r="BO1030" s="10"/>
      <c r="BP1030" s="10">
        <v>12</v>
      </c>
      <c r="BQ1030" s="10"/>
      <c r="BR1030" s="10" t="s">
        <v>2120</v>
      </c>
      <c r="BS1030" s="10"/>
      <c r="BT1030" s="10"/>
      <c r="BU1030" s="10"/>
      <c r="BV1030">
        <v>41.5</v>
      </c>
      <c r="BW1030">
        <v>1.1408510089999999</v>
      </c>
      <c r="BX1030">
        <v>20</v>
      </c>
      <c r="BY1030">
        <v>42.78</v>
      </c>
      <c r="BZ1030">
        <v>2.2817020179999998</v>
      </c>
      <c r="CA1030">
        <v>20</v>
      </c>
      <c r="CB1030" t="s">
        <v>113</v>
      </c>
      <c r="CC1030" t="s">
        <v>2135</v>
      </c>
    </row>
    <row r="1031" spans="1:81" x14ac:dyDescent="0.25">
      <c r="A1031" s="10" t="s">
        <v>2023</v>
      </c>
      <c r="B1031">
        <v>1030</v>
      </c>
      <c r="C1031" s="10">
        <v>85</v>
      </c>
      <c r="D1031" s="10">
        <v>78</v>
      </c>
      <c r="E1031" s="10">
        <v>223</v>
      </c>
      <c r="F1031" s="10">
        <v>241</v>
      </c>
      <c r="G1031" s="10">
        <v>566</v>
      </c>
      <c r="H1031" s="10">
        <v>898</v>
      </c>
      <c r="I1031" s="10" t="s">
        <v>490</v>
      </c>
      <c r="J1031" s="10" t="s">
        <v>691</v>
      </c>
      <c r="K1031" s="10"/>
      <c r="L1031" s="10"/>
      <c r="M1031" s="10" t="s">
        <v>85</v>
      </c>
      <c r="N1031" s="10"/>
      <c r="O1031" s="10" t="s">
        <v>14</v>
      </c>
      <c r="P1031" s="10" t="s">
        <v>2127</v>
      </c>
      <c r="Q1031" s="10" t="s">
        <v>2128</v>
      </c>
      <c r="R1031" s="10">
        <v>2006</v>
      </c>
      <c r="S1031" s="10" t="s">
        <v>146</v>
      </c>
      <c r="T1031" s="10"/>
      <c r="U1031" s="10" t="s">
        <v>2129</v>
      </c>
      <c r="V1031" s="10" t="s">
        <v>2130</v>
      </c>
      <c r="W1031" s="10" t="s">
        <v>170</v>
      </c>
      <c r="X1031" s="10" t="s">
        <v>965</v>
      </c>
      <c r="Y1031" s="10" t="s">
        <v>966</v>
      </c>
      <c r="Z1031" s="10" t="s">
        <v>967</v>
      </c>
      <c r="AA1031" s="10" t="s">
        <v>968</v>
      </c>
      <c r="AB1031" s="10" t="s">
        <v>2131</v>
      </c>
      <c r="AC1031" s="10" t="s">
        <v>2132</v>
      </c>
      <c r="AD1031" s="10" t="s">
        <v>132</v>
      </c>
      <c r="AE1031" s="10" t="s">
        <v>316</v>
      </c>
      <c r="AF1031" s="10" t="s">
        <v>260</v>
      </c>
      <c r="AG1031" s="10" t="s">
        <v>102</v>
      </c>
      <c r="AH1031" s="10" t="s">
        <v>102</v>
      </c>
      <c r="AI1031" s="10" t="s">
        <v>134</v>
      </c>
      <c r="AJ1031" s="10" t="s">
        <v>2056</v>
      </c>
      <c r="AK1031" s="10"/>
      <c r="AL1031" s="10"/>
      <c r="AM1031" s="10" t="s">
        <v>136</v>
      </c>
      <c r="AN1031" s="10" t="s">
        <v>700</v>
      </c>
      <c r="AO1031" s="10"/>
      <c r="AP1031" s="10"/>
      <c r="AQ1031" s="10"/>
      <c r="AR1031" s="10"/>
      <c r="AS1031" s="10"/>
      <c r="AT1031" s="10"/>
      <c r="AU1031" s="10"/>
      <c r="AV1031" s="10"/>
      <c r="AW1031" s="10" t="s">
        <v>108</v>
      </c>
      <c r="AX1031" s="10">
        <v>28</v>
      </c>
      <c r="AY1031" s="10" t="s">
        <v>103</v>
      </c>
      <c r="AZ1031" s="10" t="s">
        <v>109</v>
      </c>
      <c r="BA1031" s="10" t="s">
        <v>2071</v>
      </c>
      <c r="BB1031" s="10">
        <v>30</v>
      </c>
      <c r="BC1031" s="10">
        <v>33</v>
      </c>
      <c r="BD1031" s="10">
        <v>1</v>
      </c>
      <c r="BE1031" s="10" t="s">
        <v>111</v>
      </c>
      <c r="BF1031" s="10">
        <v>21</v>
      </c>
      <c r="BG1031" s="10">
        <v>1</v>
      </c>
      <c r="BH1031" s="10"/>
      <c r="BI1031" s="10"/>
      <c r="BJ1031" s="10"/>
      <c r="BK1031" s="10"/>
      <c r="BL1031" s="10"/>
      <c r="BM1031" s="10"/>
      <c r="BN1031" s="10">
        <v>40</v>
      </c>
      <c r="BO1031" s="10"/>
      <c r="BP1031" s="10">
        <v>12</v>
      </c>
      <c r="BQ1031" s="10"/>
      <c r="BR1031" s="10" t="s">
        <v>2120</v>
      </c>
      <c r="BS1031" s="10"/>
      <c r="BT1031" s="10" t="s">
        <v>452</v>
      </c>
      <c r="BU1031" s="10"/>
      <c r="BV1031">
        <v>42.78</v>
      </c>
      <c r="BW1031">
        <v>2.2817020179999998</v>
      </c>
      <c r="BX1031">
        <v>20</v>
      </c>
      <c r="BY1031">
        <v>44</v>
      </c>
      <c r="BZ1031" t="s">
        <v>454</v>
      </c>
      <c r="CA1031">
        <v>20</v>
      </c>
      <c r="CB1031" t="s">
        <v>113</v>
      </c>
      <c r="CC1031" t="s">
        <v>2134</v>
      </c>
    </row>
    <row r="1032" spans="1:81" x14ac:dyDescent="0.25">
      <c r="A1032" s="10" t="s">
        <v>2046</v>
      </c>
      <c r="B1032">
        <v>1031</v>
      </c>
      <c r="C1032" s="10">
        <v>88</v>
      </c>
      <c r="D1032" s="10">
        <v>81</v>
      </c>
      <c r="E1032" s="10">
        <v>224</v>
      </c>
      <c r="F1032" s="10">
        <v>242</v>
      </c>
      <c r="G1032" s="10">
        <v>567</v>
      </c>
      <c r="H1032" s="10">
        <v>899</v>
      </c>
      <c r="I1032" s="10"/>
      <c r="J1032" s="10" t="s">
        <v>691</v>
      </c>
      <c r="K1032" s="10"/>
      <c r="L1032" s="10"/>
      <c r="M1032" s="10" t="s">
        <v>85</v>
      </c>
      <c r="N1032" s="10"/>
      <c r="O1032" s="10" t="s">
        <v>14</v>
      </c>
      <c r="P1032" s="10" t="s">
        <v>2138</v>
      </c>
      <c r="Q1032" s="10" t="s">
        <v>2139</v>
      </c>
      <c r="R1032" s="10">
        <v>2019</v>
      </c>
      <c r="S1032" s="10" t="s">
        <v>446</v>
      </c>
      <c r="T1032" s="10"/>
      <c r="U1032" s="10" t="s">
        <v>2140</v>
      </c>
      <c r="V1032" s="10" t="s">
        <v>2141</v>
      </c>
      <c r="W1032" s="10" t="s">
        <v>91</v>
      </c>
      <c r="X1032" s="10" t="s">
        <v>126</v>
      </c>
      <c r="Y1032" s="10" t="s">
        <v>292</v>
      </c>
      <c r="Z1032" s="10" t="s">
        <v>293</v>
      </c>
      <c r="AA1032" s="10" t="s">
        <v>294</v>
      </c>
      <c r="AB1032" s="10" t="s">
        <v>1354</v>
      </c>
      <c r="AC1032" s="10" t="s">
        <v>1355</v>
      </c>
      <c r="AD1032" s="10" t="s">
        <v>132</v>
      </c>
      <c r="AE1032" s="10" t="s">
        <v>133</v>
      </c>
      <c r="AF1032" s="10" t="s">
        <v>100</v>
      </c>
      <c r="AG1032" s="10" t="s">
        <v>102</v>
      </c>
      <c r="AH1032" s="10" t="s">
        <v>102</v>
      </c>
      <c r="AI1032" s="10" t="s">
        <v>134</v>
      </c>
      <c r="AJ1032" s="10" t="s">
        <v>2056</v>
      </c>
      <c r="AK1032" s="10"/>
      <c r="AL1032" s="10"/>
      <c r="AM1032" s="10" t="s">
        <v>136</v>
      </c>
      <c r="AN1032" s="10" t="s">
        <v>242</v>
      </c>
      <c r="AO1032" s="10"/>
      <c r="AP1032" s="10"/>
      <c r="AQ1032" s="10"/>
      <c r="AR1032" s="10"/>
      <c r="AS1032" s="10"/>
      <c r="AT1032" s="10"/>
      <c r="AU1032" s="10">
        <f>(2.43+0.74)/2</f>
        <v>1.585</v>
      </c>
      <c r="AV1032" s="10">
        <v>78.5</v>
      </c>
      <c r="AW1032" s="10" t="s">
        <v>108</v>
      </c>
      <c r="AX1032" s="10">
        <v>18</v>
      </c>
      <c r="AY1032" s="10" t="s">
        <v>134</v>
      </c>
      <c r="AZ1032" s="10" t="s">
        <v>109</v>
      </c>
      <c r="BA1032" s="10" t="s">
        <v>2142</v>
      </c>
      <c r="BB1032" s="10">
        <v>11</v>
      </c>
      <c r="BC1032" s="10">
        <v>18</v>
      </c>
      <c r="BD1032" s="10">
        <v>0.5</v>
      </c>
      <c r="BE1032" s="10" t="s">
        <v>139</v>
      </c>
      <c r="BF1032" s="10">
        <v>42</v>
      </c>
      <c r="BG1032" s="10">
        <v>0.3</v>
      </c>
      <c r="BH1032" s="10"/>
      <c r="BI1032" s="10"/>
      <c r="BJ1032" s="10"/>
      <c r="BK1032" s="10"/>
      <c r="BL1032" s="10"/>
      <c r="BM1032" s="10"/>
      <c r="BN1032" s="10"/>
      <c r="BO1032" s="10"/>
      <c r="BP1032" s="10">
        <v>12</v>
      </c>
      <c r="BQ1032" s="10"/>
      <c r="BR1032" s="10" t="s">
        <v>2120</v>
      </c>
      <c r="BS1032" s="10" t="s">
        <v>515</v>
      </c>
      <c r="BT1032" s="10"/>
      <c r="BU1032" s="10" t="s">
        <v>2143</v>
      </c>
      <c r="BV1032">
        <v>28.6</v>
      </c>
      <c r="BW1032">
        <v>0.48</v>
      </c>
      <c r="BX1032">
        <v>9</v>
      </c>
      <c r="BY1032">
        <v>30.69</v>
      </c>
      <c r="BZ1032">
        <v>1.3914021700000001</v>
      </c>
      <c r="CA1032">
        <v>10</v>
      </c>
      <c r="CB1032" t="s">
        <v>113</v>
      </c>
      <c r="CC1032" t="s">
        <v>770</v>
      </c>
    </row>
    <row r="1033" spans="1:81" x14ac:dyDescent="0.25">
      <c r="A1033" s="10" t="s">
        <v>2023</v>
      </c>
      <c r="B1033">
        <v>1032</v>
      </c>
      <c r="C1033" s="10">
        <v>88</v>
      </c>
      <c r="D1033" s="10">
        <v>81</v>
      </c>
      <c r="E1033" s="10">
        <v>225</v>
      </c>
      <c r="F1033" s="10">
        <v>242</v>
      </c>
      <c r="G1033" s="10">
        <v>568</v>
      </c>
      <c r="H1033" s="10">
        <v>900</v>
      </c>
      <c r="I1033" s="10"/>
      <c r="J1033" s="10" t="s">
        <v>691</v>
      </c>
      <c r="K1033" s="10"/>
      <c r="L1033" s="10"/>
      <c r="M1033" s="10" t="s">
        <v>85</v>
      </c>
      <c r="N1033" s="10"/>
      <c r="O1033" s="10" t="s">
        <v>14</v>
      </c>
      <c r="P1033" s="10" t="s">
        <v>2138</v>
      </c>
      <c r="Q1033" s="10" t="s">
        <v>2139</v>
      </c>
      <c r="R1033" s="10">
        <v>2019</v>
      </c>
      <c r="S1033" s="10" t="s">
        <v>446</v>
      </c>
      <c r="T1033" s="10"/>
      <c r="U1033" s="10" t="s">
        <v>2140</v>
      </c>
      <c r="V1033" s="10" t="s">
        <v>2141</v>
      </c>
      <c r="W1033" s="10" t="s">
        <v>91</v>
      </c>
      <c r="X1033" s="10" t="s">
        <v>126</v>
      </c>
      <c r="Y1033" s="10" t="s">
        <v>292</v>
      </c>
      <c r="Z1033" s="10" t="s">
        <v>293</v>
      </c>
      <c r="AA1033" s="10" t="s">
        <v>294</v>
      </c>
      <c r="AB1033" s="10" t="s">
        <v>1354</v>
      </c>
      <c r="AC1033" s="10" t="s">
        <v>1355</v>
      </c>
      <c r="AD1033" s="10" t="s">
        <v>132</v>
      </c>
      <c r="AE1033" s="10" t="s">
        <v>133</v>
      </c>
      <c r="AF1033" s="10" t="s">
        <v>100</v>
      </c>
      <c r="AG1033" s="10" t="s">
        <v>102</v>
      </c>
      <c r="AH1033" s="10" t="s">
        <v>102</v>
      </c>
      <c r="AI1033" s="10" t="s">
        <v>134</v>
      </c>
      <c r="AJ1033" s="10" t="s">
        <v>2056</v>
      </c>
      <c r="AK1033" s="10"/>
      <c r="AL1033" s="10"/>
      <c r="AM1033" s="10" t="s">
        <v>136</v>
      </c>
      <c r="AN1033" s="10" t="s">
        <v>242</v>
      </c>
      <c r="AO1033" s="10"/>
      <c r="AP1033" s="10"/>
      <c r="AQ1033" s="10"/>
      <c r="AR1033" s="10"/>
      <c r="AS1033" s="10"/>
      <c r="AT1033" s="10"/>
      <c r="AU1033" s="10">
        <f>(1.33+0.48)/2</f>
        <v>0.90500000000000003</v>
      </c>
      <c r="AV1033" s="10">
        <v>78.5</v>
      </c>
      <c r="AW1033" s="10" t="s">
        <v>108</v>
      </c>
      <c r="AX1033" s="10">
        <v>18</v>
      </c>
      <c r="AY1033" s="10" t="s">
        <v>134</v>
      </c>
      <c r="AZ1033" s="10" t="s">
        <v>109</v>
      </c>
      <c r="BA1033" s="10" t="s">
        <v>2142</v>
      </c>
      <c r="BB1033" s="10">
        <v>11</v>
      </c>
      <c r="BC1033" s="10">
        <v>18</v>
      </c>
      <c r="BD1033" s="10">
        <v>0.5</v>
      </c>
      <c r="BE1033" s="10" t="s">
        <v>139</v>
      </c>
      <c r="BF1033" s="10">
        <v>42</v>
      </c>
      <c r="BG1033" s="10">
        <v>0.3</v>
      </c>
      <c r="BH1033" s="10"/>
      <c r="BI1033" s="10"/>
      <c r="BJ1033" s="10"/>
      <c r="BK1033" s="10"/>
      <c r="BL1033" s="10"/>
      <c r="BM1033" s="10"/>
      <c r="BN1033" s="10"/>
      <c r="BO1033" s="10"/>
      <c r="BP1033" s="10">
        <v>12</v>
      </c>
      <c r="BQ1033" s="10"/>
      <c r="BR1033" s="10" t="s">
        <v>2120</v>
      </c>
      <c r="BS1033" s="10" t="s">
        <v>515</v>
      </c>
      <c r="BT1033" s="10"/>
      <c r="BU1033" s="10" t="s">
        <v>2144</v>
      </c>
      <c r="BV1033">
        <v>28.51</v>
      </c>
      <c r="BW1033">
        <v>1.0281536849999999</v>
      </c>
      <c r="BX1033">
        <v>11</v>
      </c>
      <c r="BY1033">
        <v>31.74</v>
      </c>
      <c r="BZ1033">
        <v>0.82219219200000004</v>
      </c>
      <c r="CA1033">
        <v>10</v>
      </c>
      <c r="CB1033" t="s">
        <v>113</v>
      </c>
      <c r="CC1033" t="s">
        <v>770</v>
      </c>
    </row>
    <row r="1034" spans="1:81" x14ac:dyDescent="0.25">
      <c r="A1034" s="10" t="s">
        <v>2046</v>
      </c>
      <c r="B1034">
        <v>1033</v>
      </c>
      <c r="C1034" s="10">
        <v>89</v>
      </c>
      <c r="D1034" s="10">
        <v>82</v>
      </c>
      <c r="E1034" s="10">
        <v>226</v>
      </c>
      <c r="F1034" s="10">
        <v>243</v>
      </c>
      <c r="G1034" s="10">
        <v>569</v>
      </c>
      <c r="H1034" s="10">
        <v>901</v>
      </c>
      <c r="I1034" s="10" t="s">
        <v>490</v>
      </c>
      <c r="J1034" s="10" t="s">
        <v>2145</v>
      </c>
      <c r="K1034" s="10"/>
      <c r="L1034" s="10"/>
      <c r="M1034" s="10" t="s">
        <v>85</v>
      </c>
      <c r="N1034" s="10"/>
      <c r="O1034" s="10" t="s">
        <v>14</v>
      </c>
      <c r="P1034" s="10" t="s">
        <v>2146</v>
      </c>
      <c r="Q1034" s="10" t="s">
        <v>2147</v>
      </c>
      <c r="R1034" s="10">
        <v>2018</v>
      </c>
      <c r="S1034" s="10" t="s">
        <v>289</v>
      </c>
      <c r="T1034" s="10"/>
      <c r="U1034" s="10" t="s">
        <v>2148</v>
      </c>
      <c r="V1034" s="10" t="s">
        <v>2149</v>
      </c>
      <c r="W1034" s="10" t="s">
        <v>91</v>
      </c>
      <c r="X1034" s="10" t="s">
        <v>508</v>
      </c>
      <c r="Y1034" s="10" t="s">
        <v>509</v>
      </c>
      <c r="Z1034" s="10" t="s">
        <v>2150</v>
      </c>
      <c r="AA1034" s="10" t="s">
        <v>2151</v>
      </c>
      <c r="AB1034" s="10" t="s">
        <v>2152</v>
      </c>
      <c r="AC1034" s="10" t="s">
        <v>2153</v>
      </c>
      <c r="AD1034" s="10" t="s">
        <v>132</v>
      </c>
      <c r="AE1034" s="10" t="s">
        <v>514</v>
      </c>
      <c r="AF1034" s="10" t="s">
        <v>100</v>
      </c>
      <c r="AG1034" s="10" t="s">
        <v>102</v>
      </c>
      <c r="AH1034" s="10" t="s">
        <v>102</v>
      </c>
      <c r="AI1034" s="10" t="s">
        <v>134</v>
      </c>
      <c r="AJ1034" s="10" t="s">
        <v>2056</v>
      </c>
      <c r="AK1034" s="10"/>
      <c r="AL1034" s="10"/>
      <c r="AM1034" s="10" t="s">
        <v>136</v>
      </c>
      <c r="AN1034" s="10" t="s">
        <v>106</v>
      </c>
      <c r="AO1034" s="10"/>
      <c r="AP1034" s="10"/>
      <c r="AQ1034" s="10"/>
      <c r="AR1034" s="10"/>
      <c r="AS1034" s="10"/>
      <c r="AT1034" s="10"/>
      <c r="AU1034" s="10">
        <f>((71.27+442.64)/2)/1000</f>
        <v>0.25695499999999999</v>
      </c>
      <c r="AV1034" s="10"/>
      <c r="AW1034" s="10" t="s">
        <v>108</v>
      </c>
      <c r="AX1034" s="10"/>
      <c r="AY1034" s="10"/>
      <c r="AZ1034" s="10" t="s">
        <v>109</v>
      </c>
      <c r="BA1034" s="10" t="s">
        <v>2071</v>
      </c>
      <c r="BB1034" s="10">
        <v>16</v>
      </c>
      <c r="BC1034" s="10">
        <v>19</v>
      </c>
      <c r="BD1034" s="10">
        <f>(0.4+0.5)/2</f>
        <v>0.45</v>
      </c>
      <c r="BE1034" s="10" t="s">
        <v>139</v>
      </c>
      <c r="BF1034" s="10">
        <v>28</v>
      </c>
      <c r="BG1034" s="10">
        <v>0.1</v>
      </c>
      <c r="BH1034" s="10"/>
      <c r="BI1034" s="10"/>
      <c r="BJ1034" s="10"/>
      <c r="BK1034" s="10"/>
      <c r="BL1034" s="10"/>
      <c r="BM1034" s="10"/>
      <c r="BN1034" s="10"/>
      <c r="BO1034" s="10"/>
      <c r="BP1034" s="10">
        <v>12</v>
      </c>
      <c r="BQ1034" s="10"/>
      <c r="BR1034" s="10"/>
      <c r="BS1034" s="10"/>
      <c r="BT1034" s="10"/>
      <c r="BU1034" s="10" t="s">
        <v>2154</v>
      </c>
      <c r="BV1034">
        <v>35.1</v>
      </c>
      <c r="BW1034">
        <v>0.8</v>
      </c>
      <c r="BX1034">
        <v>3</v>
      </c>
      <c r="BY1034">
        <v>31.5</v>
      </c>
      <c r="BZ1034">
        <v>0.5</v>
      </c>
      <c r="CA1034">
        <v>3</v>
      </c>
      <c r="CB1034" t="s">
        <v>113</v>
      </c>
      <c r="CC1034" t="s">
        <v>1814</v>
      </c>
    </row>
    <row r="1035" spans="1:81" x14ac:dyDescent="0.25">
      <c r="A1035" s="10" t="s">
        <v>2046</v>
      </c>
      <c r="B1035">
        <v>1034</v>
      </c>
      <c r="C1035" s="10">
        <v>89</v>
      </c>
      <c r="D1035" s="10">
        <v>82</v>
      </c>
      <c r="E1035" s="10">
        <v>226</v>
      </c>
      <c r="F1035" s="10">
        <v>243</v>
      </c>
      <c r="G1035" s="10">
        <v>569</v>
      </c>
      <c r="H1035" s="10">
        <v>902</v>
      </c>
      <c r="I1035" s="10" t="s">
        <v>490</v>
      </c>
      <c r="J1035" s="10" t="s">
        <v>2145</v>
      </c>
      <c r="K1035" s="10"/>
      <c r="L1035" s="10"/>
      <c r="M1035" s="10" t="s">
        <v>85</v>
      </c>
      <c r="N1035" s="10"/>
      <c r="O1035" s="10" t="s">
        <v>14</v>
      </c>
      <c r="P1035" s="10" t="s">
        <v>2146</v>
      </c>
      <c r="Q1035" s="10" t="s">
        <v>2147</v>
      </c>
      <c r="R1035" s="10">
        <v>2018</v>
      </c>
      <c r="S1035" s="10" t="s">
        <v>289</v>
      </c>
      <c r="T1035" s="10"/>
      <c r="U1035" s="10" t="s">
        <v>2148</v>
      </c>
      <c r="V1035" s="10" t="s">
        <v>2149</v>
      </c>
      <c r="W1035" s="10" t="s">
        <v>91</v>
      </c>
      <c r="X1035" s="10" t="s">
        <v>508</v>
      </c>
      <c r="Y1035" s="10" t="s">
        <v>509</v>
      </c>
      <c r="Z1035" s="10" t="s">
        <v>2150</v>
      </c>
      <c r="AA1035" s="10" t="s">
        <v>2151</v>
      </c>
      <c r="AB1035" s="10" t="s">
        <v>2152</v>
      </c>
      <c r="AC1035" s="10" t="s">
        <v>2153</v>
      </c>
      <c r="AD1035" s="10" t="s">
        <v>132</v>
      </c>
      <c r="AE1035" s="10" t="s">
        <v>514</v>
      </c>
      <c r="AF1035" s="10" t="s">
        <v>100</v>
      </c>
      <c r="AG1035" s="10" t="s">
        <v>102</v>
      </c>
      <c r="AH1035" s="10" t="s">
        <v>102</v>
      </c>
      <c r="AI1035" s="10" t="s">
        <v>134</v>
      </c>
      <c r="AJ1035" s="10" t="s">
        <v>2056</v>
      </c>
      <c r="AK1035" s="10"/>
      <c r="AL1035" s="10"/>
      <c r="AM1035" s="10" t="s">
        <v>136</v>
      </c>
      <c r="AN1035" s="10" t="s">
        <v>106</v>
      </c>
      <c r="AO1035" s="10"/>
      <c r="AP1035" s="10"/>
      <c r="AQ1035" s="10"/>
      <c r="AR1035" s="10"/>
      <c r="AS1035" s="10"/>
      <c r="AT1035" s="10"/>
      <c r="AU1035" s="10">
        <f>((243.37+442.64)/2)/1000</f>
        <v>0.343005</v>
      </c>
      <c r="AV1035" s="10"/>
      <c r="AW1035" s="10" t="s">
        <v>108</v>
      </c>
      <c r="AX1035" s="10"/>
      <c r="AY1035" s="10"/>
      <c r="AZ1035" s="10" t="s">
        <v>109</v>
      </c>
      <c r="BA1035" s="10" t="s">
        <v>2071</v>
      </c>
      <c r="BB1035" s="10">
        <v>19</v>
      </c>
      <c r="BC1035" s="10">
        <v>22</v>
      </c>
      <c r="BD1035" s="10">
        <f>(0.1+0.5)/2</f>
        <v>0.3</v>
      </c>
      <c r="BE1035" s="10" t="s">
        <v>139</v>
      </c>
      <c r="BF1035" s="10">
        <v>28</v>
      </c>
      <c r="BG1035" s="10">
        <v>0.1</v>
      </c>
      <c r="BH1035" s="10"/>
      <c r="BI1035" s="10"/>
      <c r="BJ1035" s="10"/>
      <c r="BK1035" s="10"/>
      <c r="BL1035" s="10"/>
      <c r="BM1035" s="10"/>
      <c r="BN1035" s="10"/>
      <c r="BO1035" s="10"/>
      <c r="BP1035" s="10">
        <v>12</v>
      </c>
      <c r="BQ1035" s="10"/>
      <c r="BR1035" s="10"/>
      <c r="BS1035" s="10"/>
      <c r="BT1035" s="10"/>
      <c r="BU1035" s="10" t="s">
        <v>2154</v>
      </c>
      <c r="BV1035">
        <v>31.5</v>
      </c>
      <c r="BW1035">
        <v>0.5</v>
      </c>
      <c r="BX1035">
        <v>3</v>
      </c>
      <c r="BY1035">
        <v>31.6</v>
      </c>
      <c r="BZ1035">
        <v>0.3</v>
      </c>
      <c r="CA1035">
        <v>3</v>
      </c>
      <c r="CB1035" t="s">
        <v>113</v>
      </c>
      <c r="CC1035" t="s">
        <v>1814</v>
      </c>
    </row>
    <row r="1036" spans="1:81" x14ac:dyDescent="0.25">
      <c r="A1036" s="10" t="s">
        <v>2046</v>
      </c>
      <c r="B1036">
        <v>1035</v>
      </c>
      <c r="C1036" s="10">
        <v>89</v>
      </c>
      <c r="D1036" s="10">
        <v>82</v>
      </c>
      <c r="E1036" s="10">
        <v>226</v>
      </c>
      <c r="F1036" s="10">
        <v>243</v>
      </c>
      <c r="G1036" s="10">
        <v>569</v>
      </c>
      <c r="H1036" s="10">
        <v>903</v>
      </c>
      <c r="I1036" s="10" t="s">
        <v>490</v>
      </c>
      <c r="J1036" s="10" t="s">
        <v>2145</v>
      </c>
      <c r="K1036" s="10"/>
      <c r="L1036" s="10"/>
      <c r="M1036" s="10" t="s">
        <v>85</v>
      </c>
      <c r="N1036" s="10"/>
      <c r="O1036" s="10" t="s">
        <v>14</v>
      </c>
      <c r="P1036" s="10" t="s">
        <v>2146</v>
      </c>
      <c r="Q1036" s="10" t="s">
        <v>2147</v>
      </c>
      <c r="R1036" s="10">
        <v>2018</v>
      </c>
      <c r="S1036" s="10" t="s">
        <v>289</v>
      </c>
      <c r="T1036" s="10"/>
      <c r="U1036" s="10" t="s">
        <v>2148</v>
      </c>
      <c r="V1036" s="10" t="s">
        <v>2149</v>
      </c>
      <c r="W1036" s="10" t="s">
        <v>91</v>
      </c>
      <c r="X1036" s="10" t="s">
        <v>508</v>
      </c>
      <c r="Y1036" s="10" t="s">
        <v>509</v>
      </c>
      <c r="Z1036" s="10" t="s">
        <v>2150</v>
      </c>
      <c r="AA1036" s="10" t="s">
        <v>2151</v>
      </c>
      <c r="AB1036" s="10" t="s">
        <v>2152</v>
      </c>
      <c r="AC1036" s="10" t="s">
        <v>2153</v>
      </c>
      <c r="AD1036" s="10" t="s">
        <v>132</v>
      </c>
      <c r="AE1036" s="10" t="s">
        <v>514</v>
      </c>
      <c r="AF1036" s="10" t="s">
        <v>100</v>
      </c>
      <c r="AG1036" s="10" t="s">
        <v>102</v>
      </c>
      <c r="AH1036" s="10" t="s">
        <v>102</v>
      </c>
      <c r="AI1036" s="10" t="s">
        <v>134</v>
      </c>
      <c r="AJ1036" s="10" t="s">
        <v>2056</v>
      </c>
      <c r="AK1036" s="10"/>
      <c r="AL1036" s="10"/>
      <c r="AM1036" s="10" t="s">
        <v>136</v>
      </c>
      <c r="AN1036" s="10" t="s">
        <v>106</v>
      </c>
      <c r="AO1036" s="10"/>
      <c r="AP1036" s="10"/>
      <c r="AQ1036" s="10"/>
      <c r="AR1036" s="10"/>
      <c r="AS1036" s="10"/>
      <c r="AT1036" s="10"/>
      <c r="AU1036" s="10">
        <f>((243.37+159.89)/2)/1000</f>
        <v>0.20163</v>
      </c>
      <c r="AV1036" s="10"/>
      <c r="AW1036" s="10" t="s">
        <v>108</v>
      </c>
      <c r="AX1036" s="10"/>
      <c r="AY1036" s="10"/>
      <c r="AZ1036" s="10" t="s">
        <v>109</v>
      </c>
      <c r="BA1036" s="10" t="s">
        <v>2071</v>
      </c>
      <c r="BB1036" s="10">
        <v>22</v>
      </c>
      <c r="BC1036" s="10">
        <v>25</v>
      </c>
      <c r="BD1036" s="10">
        <f>(0.1+0.5)/2</f>
        <v>0.3</v>
      </c>
      <c r="BE1036" s="10" t="s">
        <v>139</v>
      </c>
      <c r="BF1036" s="10">
        <v>28</v>
      </c>
      <c r="BG1036" s="10">
        <v>0.1</v>
      </c>
      <c r="BH1036" s="10"/>
      <c r="BI1036" s="10"/>
      <c r="BJ1036" s="10"/>
      <c r="BK1036" s="10"/>
      <c r="BL1036" s="10"/>
      <c r="BM1036" s="10"/>
      <c r="BN1036" s="10"/>
      <c r="BO1036" s="10"/>
      <c r="BP1036" s="10">
        <v>12</v>
      </c>
      <c r="BQ1036" s="10"/>
      <c r="BR1036" s="10"/>
      <c r="BS1036" s="10"/>
      <c r="BT1036" s="10"/>
      <c r="BU1036" s="10" t="s">
        <v>2154</v>
      </c>
      <c r="BV1036">
        <v>31.6</v>
      </c>
      <c r="BW1036">
        <v>0.3</v>
      </c>
      <c r="BX1036">
        <v>3</v>
      </c>
      <c r="BY1036">
        <v>39.700000000000003</v>
      </c>
      <c r="BZ1036">
        <v>0.2</v>
      </c>
      <c r="CA1036">
        <v>3</v>
      </c>
      <c r="CB1036" t="s">
        <v>113</v>
      </c>
      <c r="CC1036" t="s">
        <v>1814</v>
      </c>
    </row>
    <row r="1037" spans="1:81" x14ac:dyDescent="0.25">
      <c r="A1037" s="10" t="s">
        <v>2046</v>
      </c>
      <c r="B1037">
        <v>1036</v>
      </c>
      <c r="C1037" s="10">
        <v>89</v>
      </c>
      <c r="D1037" s="10">
        <v>82</v>
      </c>
      <c r="E1037" s="10">
        <v>226</v>
      </c>
      <c r="F1037" s="10">
        <v>243</v>
      </c>
      <c r="G1037" s="10">
        <v>569</v>
      </c>
      <c r="H1037" s="10">
        <v>904</v>
      </c>
      <c r="I1037" s="10" t="s">
        <v>490</v>
      </c>
      <c r="J1037" s="10" t="s">
        <v>2145</v>
      </c>
      <c r="K1037" s="10"/>
      <c r="L1037" s="10"/>
      <c r="M1037" s="10" t="s">
        <v>85</v>
      </c>
      <c r="N1037" s="10"/>
      <c r="O1037" s="10" t="s">
        <v>14</v>
      </c>
      <c r="P1037" s="10" t="s">
        <v>2146</v>
      </c>
      <c r="Q1037" s="10" t="s">
        <v>2147</v>
      </c>
      <c r="R1037" s="10">
        <v>2018</v>
      </c>
      <c r="S1037" s="10" t="s">
        <v>289</v>
      </c>
      <c r="T1037" s="10"/>
      <c r="U1037" s="10" t="s">
        <v>2148</v>
      </c>
      <c r="V1037" s="10" t="s">
        <v>2149</v>
      </c>
      <c r="W1037" s="10" t="s">
        <v>91</v>
      </c>
      <c r="X1037" s="10" t="s">
        <v>508</v>
      </c>
      <c r="Y1037" s="10" t="s">
        <v>509</v>
      </c>
      <c r="Z1037" s="10" t="s">
        <v>2150</v>
      </c>
      <c r="AA1037" s="10" t="s">
        <v>2151</v>
      </c>
      <c r="AB1037" s="10" t="s">
        <v>2152</v>
      </c>
      <c r="AC1037" s="10" t="s">
        <v>2153</v>
      </c>
      <c r="AD1037" s="10" t="s">
        <v>132</v>
      </c>
      <c r="AE1037" s="10" t="s">
        <v>514</v>
      </c>
      <c r="AF1037" s="10" t="s">
        <v>100</v>
      </c>
      <c r="AG1037" s="10" t="s">
        <v>102</v>
      </c>
      <c r="AH1037" s="10" t="s">
        <v>102</v>
      </c>
      <c r="AI1037" s="10" t="s">
        <v>134</v>
      </c>
      <c r="AJ1037" s="10" t="s">
        <v>2056</v>
      </c>
      <c r="AK1037" s="10"/>
      <c r="AL1037" s="10"/>
      <c r="AM1037" s="10" t="s">
        <v>136</v>
      </c>
      <c r="AN1037" s="10" t="s">
        <v>106</v>
      </c>
      <c r="AO1037" s="10"/>
      <c r="AP1037" s="10"/>
      <c r="AQ1037" s="10"/>
      <c r="AR1037" s="10"/>
      <c r="AS1037" s="10"/>
      <c r="AT1037" s="10"/>
      <c r="AU1037" s="10">
        <f>((48.81+159.89)/2)/1000</f>
        <v>0.10435</v>
      </c>
      <c r="AV1037" s="10"/>
      <c r="AW1037" s="10" t="s">
        <v>108</v>
      </c>
      <c r="AX1037" s="10"/>
      <c r="AY1037" s="10"/>
      <c r="AZ1037" s="10" t="s">
        <v>109</v>
      </c>
      <c r="BA1037" s="10" t="s">
        <v>2071</v>
      </c>
      <c r="BB1037" s="10">
        <v>25</v>
      </c>
      <c r="BC1037" s="10">
        <v>28</v>
      </c>
      <c r="BD1037" s="10">
        <f>(0.3+0.5)/2</f>
        <v>0.4</v>
      </c>
      <c r="BE1037" s="10" t="s">
        <v>139</v>
      </c>
      <c r="BF1037" s="10">
        <v>28</v>
      </c>
      <c r="BG1037" s="10">
        <v>0.1</v>
      </c>
      <c r="BH1037" s="10"/>
      <c r="BI1037" s="10"/>
      <c r="BJ1037" s="10"/>
      <c r="BK1037" s="10"/>
      <c r="BL1037" s="10"/>
      <c r="BM1037" s="10"/>
      <c r="BN1037" s="10"/>
      <c r="BO1037" s="10"/>
      <c r="BP1037" s="10">
        <v>12</v>
      </c>
      <c r="BQ1037" s="10"/>
      <c r="BR1037" s="10"/>
      <c r="BS1037" s="10"/>
      <c r="BT1037" s="10"/>
      <c r="BU1037" s="10" t="s">
        <v>2154</v>
      </c>
      <c r="BV1037">
        <v>39.700000000000003</v>
      </c>
      <c r="BW1037">
        <v>0.2</v>
      </c>
      <c r="BX1037">
        <v>3</v>
      </c>
      <c r="BY1037">
        <v>35.5</v>
      </c>
      <c r="BZ1037">
        <v>0.5</v>
      </c>
      <c r="CA1037">
        <v>3</v>
      </c>
      <c r="CB1037" t="s">
        <v>113</v>
      </c>
      <c r="CC1037" t="s">
        <v>1814</v>
      </c>
    </row>
    <row r="1038" spans="1:81" x14ac:dyDescent="0.25">
      <c r="A1038" s="10" t="s">
        <v>2046</v>
      </c>
      <c r="B1038">
        <v>1037</v>
      </c>
      <c r="C1038" s="10">
        <v>90</v>
      </c>
      <c r="D1038" s="10">
        <v>83</v>
      </c>
      <c r="E1038" s="10">
        <v>227</v>
      </c>
      <c r="F1038" s="10">
        <v>244</v>
      </c>
      <c r="G1038" s="10">
        <v>570</v>
      </c>
      <c r="H1038" s="10">
        <v>905</v>
      </c>
      <c r="I1038" s="10" t="s">
        <v>490</v>
      </c>
      <c r="J1038" s="10" t="s">
        <v>2155</v>
      </c>
      <c r="K1038" s="10"/>
      <c r="L1038" s="10"/>
      <c r="M1038" s="10" t="s">
        <v>85</v>
      </c>
      <c r="N1038" s="10"/>
      <c r="O1038" s="10" t="s">
        <v>14</v>
      </c>
      <c r="P1038" s="10" t="s">
        <v>2156</v>
      </c>
      <c r="Q1038" s="10" t="s">
        <v>2157</v>
      </c>
      <c r="R1038" s="10">
        <v>2020</v>
      </c>
      <c r="S1038" s="10" t="s">
        <v>342</v>
      </c>
      <c r="T1038" s="10"/>
      <c r="U1038" s="10" t="s">
        <v>2158</v>
      </c>
      <c r="V1038" s="10" t="s">
        <v>2159</v>
      </c>
      <c r="W1038" s="10" t="s">
        <v>91</v>
      </c>
      <c r="X1038" s="10" t="s">
        <v>508</v>
      </c>
      <c r="Y1038" s="10" t="s">
        <v>509</v>
      </c>
      <c r="Z1038" s="10" t="s">
        <v>2160</v>
      </c>
      <c r="AA1038" s="10" t="s">
        <v>2161</v>
      </c>
      <c r="AB1038" s="10" t="s">
        <v>2162</v>
      </c>
      <c r="AC1038" s="10" t="s">
        <v>2163</v>
      </c>
      <c r="AD1038" s="10" t="s">
        <v>132</v>
      </c>
      <c r="AE1038" s="10" t="s">
        <v>514</v>
      </c>
      <c r="AF1038" s="10" t="s">
        <v>100</v>
      </c>
      <c r="AG1038" s="10" t="s">
        <v>102</v>
      </c>
      <c r="AH1038" s="10" t="s">
        <v>102</v>
      </c>
      <c r="AI1038" s="10" t="s">
        <v>134</v>
      </c>
      <c r="AJ1038" s="10" t="s">
        <v>2056</v>
      </c>
      <c r="AK1038" s="10"/>
      <c r="AL1038" s="10"/>
      <c r="AM1038" s="10" t="s">
        <v>136</v>
      </c>
      <c r="AN1038" s="10" t="s">
        <v>106</v>
      </c>
      <c r="AO1038" s="10">
        <v>53.577055555599998</v>
      </c>
      <c r="AP1038" s="10">
        <v>9.7826388888999993</v>
      </c>
      <c r="AQ1038" s="10">
        <v>51</v>
      </c>
      <c r="AR1038" s="10"/>
      <c r="AS1038" s="10"/>
      <c r="AT1038" s="10"/>
      <c r="AU1038" s="10">
        <f>((605.9+484.2)/2)/1000</f>
        <v>0.54504999999999992</v>
      </c>
      <c r="AV1038" s="10"/>
      <c r="AW1038" s="10" t="s">
        <v>108</v>
      </c>
      <c r="AX1038" s="10"/>
      <c r="AY1038" s="10"/>
      <c r="AZ1038" s="10" t="s">
        <v>109</v>
      </c>
      <c r="BA1038" s="10" t="s">
        <v>2071</v>
      </c>
      <c r="BB1038" s="10">
        <v>14</v>
      </c>
      <c r="BC1038" s="10">
        <v>18</v>
      </c>
      <c r="BD1038" s="10">
        <f>(0.5+0.1)/2</f>
        <v>0.3</v>
      </c>
      <c r="BE1038" s="10" t="s">
        <v>139</v>
      </c>
      <c r="BF1038" s="10">
        <v>77</v>
      </c>
      <c r="BG1038" s="10">
        <v>0.1</v>
      </c>
      <c r="BH1038" s="10"/>
      <c r="BI1038" s="10"/>
      <c r="BJ1038" s="10"/>
      <c r="BK1038" s="10"/>
      <c r="BL1038" s="10"/>
      <c r="BM1038" s="10"/>
      <c r="BN1038" s="10"/>
      <c r="BO1038" s="10"/>
      <c r="BP1038" s="10">
        <v>12</v>
      </c>
      <c r="BQ1038" s="10"/>
      <c r="BR1038" s="10"/>
      <c r="BS1038" s="10" t="s">
        <v>844</v>
      </c>
      <c r="BT1038" s="10"/>
      <c r="BU1038" s="10" t="s">
        <v>2164</v>
      </c>
      <c r="BV1038">
        <v>32.08</v>
      </c>
      <c r="BW1038">
        <v>0.12</v>
      </c>
      <c r="BX1038">
        <v>5</v>
      </c>
      <c r="BY1038">
        <v>34.340000000000003</v>
      </c>
      <c r="BZ1038">
        <v>0.18</v>
      </c>
      <c r="CA1038">
        <v>5</v>
      </c>
      <c r="CB1038" t="s">
        <v>113</v>
      </c>
      <c r="CC1038" t="s">
        <v>1814</v>
      </c>
    </row>
    <row r="1039" spans="1:81" x14ac:dyDescent="0.25">
      <c r="A1039" s="10" t="s">
        <v>2046</v>
      </c>
      <c r="B1039">
        <v>1038</v>
      </c>
      <c r="C1039" s="10">
        <v>90</v>
      </c>
      <c r="D1039" s="10">
        <v>83</v>
      </c>
      <c r="E1039" s="10">
        <v>227</v>
      </c>
      <c r="F1039" s="10">
        <v>244</v>
      </c>
      <c r="G1039" s="10">
        <v>570</v>
      </c>
      <c r="H1039" s="10">
        <v>906</v>
      </c>
      <c r="I1039" s="10" t="s">
        <v>490</v>
      </c>
      <c r="J1039" s="10" t="s">
        <v>2155</v>
      </c>
      <c r="K1039" s="10"/>
      <c r="L1039" s="10"/>
      <c r="M1039" s="10" t="s">
        <v>85</v>
      </c>
      <c r="N1039" s="10"/>
      <c r="O1039" s="10" t="s">
        <v>14</v>
      </c>
      <c r="P1039" s="10" t="s">
        <v>2156</v>
      </c>
      <c r="Q1039" s="10" t="s">
        <v>2157</v>
      </c>
      <c r="R1039" s="10">
        <v>2020</v>
      </c>
      <c r="S1039" s="10" t="s">
        <v>342</v>
      </c>
      <c r="T1039" s="10"/>
      <c r="U1039" s="10" t="s">
        <v>2158</v>
      </c>
      <c r="V1039" s="10" t="s">
        <v>2159</v>
      </c>
      <c r="W1039" s="10" t="s">
        <v>91</v>
      </c>
      <c r="X1039" s="10" t="s">
        <v>508</v>
      </c>
      <c r="Y1039" s="10" t="s">
        <v>509</v>
      </c>
      <c r="Z1039" s="10" t="s">
        <v>2160</v>
      </c>
      <c r="AA1039" s="10" t="s">
        <v>2161</v>
      </c>
      <c r="AB1039" s="10" t="s">
        <v>2162</v>
      </c>
      <c r="AC1039" s="10" t="s">
        <v>2163</v>
      </c>
      <c r="AD1039" s="10" t="s">
        <v>132</v>
      </c>
      <c r="AE1039" s="10" t="s">
        <v>514</v>
      </c>
      <c r="AF1039" s="10" t="s">
        <v>100</v>
      </c>
      <c r="AG1039" s="10" t="s">
        <v>102</v>
      </c>
      <c r="AH1039" s="10" t="s">
        <v>102</v>
      </c>
      <c r="AI1039" s="10" t="s">
        <v>134</v>
      </c>
      <c r="AJ1039" s="10" t="s">
        <v>2056</v>
      </c>
      <c r="AK1039" s="10"/>
      <c r="AL1039" s="10"/>
      <c r="AM1039" s="10" t="s">
        <v>136</v>
      </c>
      <c r="AN1039" s="10" t="s">
        <v>106</v>
      </c>
      <c r="AO1039" s="10">
        <v>53.577055555599998</v>
      </c>
      <c r="AP1039" s="10">
        <v>9.7826388888999993</v>
      </c>
      <c r="AQ1039" s="10">
        <v>51</v>
      </c>
      <c r="AR1039" s="10"/>
      <c r="AS1039" s="10"/>
      <c r="AT1039" s="10"/>
      <c r="AU1039" s="10">
        <f>((362+484.2)/2)/1000</f>
        <v>0.42310000000000003</v>
      </c>
      <c r="AV1039" s="10"/>
      <c r="AW1039" s="10" t="s">
        <v>108</v>
      </c>
      <c r="AX1039" s="10"/>
      <c r="AY1039" s="10"/>
      <c r="AZ1039" s="10" t="s">
        <v>109</v>
      </c>
      <c r="BA1039" s="10" t="s">
        <v>2071</v>
      </c>
      <c r="BB1039" s="10">
        <v>18</v>
      </c>
      <c r="BC1039" s="10">
        <v>22</v>
      </c>
      <c r="BD1039" s="10">
        <f>(0.1+0.1)/2</f>
        <v>0.1</v>
      </c>
      <c r="BE1039" s="10" t="s">
        <v>139</v>
      </c>
      <c r="BF1039" s="10">
        <v>77</v>
      </c>
      <c r="BG1039" s="10">
        <v>0.1</v>
      </c>
      <c r="BH1039" s="10"/>
      <c r="BI1039" s="10"/>
      <c r="BJ1039" s="10"/>
      <c r="BK1039" s="10"/>
      <c r="BL1039" s="10"/>
      <c r="BM1039" s="10"/>
      <c r="BN1039" s="10"/>
      <c r="BO1039" s="10"/>
      <c r="BP1039" s="10">
        <v>12</v>
      </c>
      <c r="BQ1039" s="10"/>
      <c r="BR1039" s="10"/>
      <c r="BS1039" s="10" t="s">
        <v>844</v>
      </c>
      <c r="BT1039" s="10"/>
      <c r="BU1039" s="10" t="s">
        <v>2164</v>
      </c>
      <c r="BV1039">
        <v>34.340000000000003</v>
      </c>
      <c r="BW1039">
        <v>0.18</v>
      </c>
      <c r="BX1039">
        <v>5</v>
      </c>
      <c r="BY1039">
        <v>36.630000000000003</v>
      </c>
      <c r="BZ1039">
        <v>0.92</v>
      </c>
      <c r="CA1039">
        <v>5</v>
      </c>
      <c r="CB1039" t="s">
        <v>113</v>
      </c>
      <c r="CC1039" t="s">
        <v>1814</v>
      </c>
    </row>
    <row r="1040" spans="1:81" x14ac:dyDescent="0.25">
      <c r="A1040" s="10" t="s">
        <v>2046</v>
      </c>
      <c r="B1040">
        <v>1039</v>
      </c>
      <c r="C1040" s="10">
        <v>90</v>
      </c>
      <c r="D1040" s="10">
        <v>83</v>
      </c>
      <c r="E1040" s="10">
        <v>227</v>
      </c>
      <c r="F1040" s="10">
        <v>244</v>
      </c>
      <c r="G1040" s="10">
        <v>570</v>
      </c>
      <c r="H1040" s="10">
        <v>907</v>
      </c>
      <c r="I1040" s="10" t="s">
        <v>490</v>
      </c>
      <c r="J1040" s="10" t="s">
        <v>2155</v>
      </c>
      <c r="K1040" s="10"/>
      <c r="L1040" s="10"/>
      <c r="M1040" s="10" t="s">
        <v>85</v>
      </c>
      <c r="N1040" s="10"/>
      <c r="O1040" s="10" t="s">
        <v>14</v>
      </c>
      <c r="P1040" s="10" t="s">
        <v>2156</v>
      </c>
      <c r="Q1040" s="10" t="s">
        <v>2157</v>
      </c>
      <c r="R1040" s="10">
        <v>2020</v>
      </c>
      <c r="S1040" s="10" t="s">
        <v>342</v>
      </c>
      <c r="T1040" s="10"/>
      <c r="U1040" s="10" t="s">
        <v>2158</v>
      </c>
      <c r="V1040" s="10" t="s">
        <v>2159</v>
      </c>
      <c r="W1040" s="10" t="s">
        <v>91</v>
      </c>
      <c r="X1040" s="10" t="s">
        <v>508</v>
      </c>
      <c r="Y1040" s="10" t="s">
        <v>509</v>
      </c>
      <c r="Z1040" s="10" t="s">
        <v>2160</v>
      </c>
      <c r="AA1040" s="10" t="s">
        <v>2161</v>
      </c>
      <c r="AB1040" s="10" t="s">
        <v>2162</v>
      </c>
      <c r="AC1040" s="10" t="s">
        <v>2163</v>
      </c>
      <c r="AD1040" s="10" t="s">
        <v>132</v>
      </c>
      <c r="AE1040" s="10" t="s">
        <v>514</v>
      </c>
      <c r="AF1040" s="10" t="s">
        <v>100</v>
      </c>
      <c r="AG1040" s="10" t="s">
        <v>102</v>
      </c>
      <c r="AH1040" s="10" t="s">
        <v>102</v>
      </c>
      <c r="AI1040" s="10" t="s">
        <v>134</v>
      </c>
      <c r="AJ1040" s="10" t="s">
        <v>2056</v>
      </c>
      <c r="AK1040" s="10"/>
      <c r="AL1040" s="10"/>
      <c r="AM1040" s="10" t="s">
        <v>136</v>
      </c>
      <c r="AN1040" s="10" t="s">
        <v>106</v>
      </c>
      <c r="AO1040" s="10">
        <v>53.577055555599998</v>
      </c>
      <c r="AP1040" s="10">
        <v>9.7826388888999993</v>
      </c>
      <c r="AQ1040" s="10">
        <v>51</v>
      </c>
      <c r="AR1040" s="10"/>
      <c r="AS1040" s="10"/>
      <c r="AT1040" s="10"/>
      <c r="AU1040" s="10">
        <f>((362+133.3)/2)/1000</f>
        <v>0.24765000000000001</v>
      </c>
      <c r="AV1040" s="10"/>
      <c r="AW1040" s="10" t="s">
        <v>108</v>
      </c>
      <c r="AX1040" s="10"/>
      <c r="AY1040" s="10"/>
      <c r="AZ1040" s="10" t="s">
        <v>109</v>
      </c>
      <c r="BA1040" s="10" t="s">
        <v>2071</v>
      </c>
      <c r="BB1040" s="10">
        <v>22</v>
      </c>
      <c r="BC1040" s="10">
        <v>25</v>
      </c>
      <c r="BD1040" s="10">
        <f>(0.1+0.2)/2</f>
        <v>0.15000000000000002</v>
      </c>
      <c r="BE1040" s="10" t="s">
        <v>139</v>
      </c>
      <c r="BF1040" s="10">
        <v>77</v>
      </c>
      <c r="BG1040" s="10">
        <v>0.1</v>
      </c>
      <c r="BH1040" s="10"/>
      <c r="BI1040" s="10"/>
      <c r="BJ1040" s="10"/>
      <c r="BK1040" s="10"/>
      <c r="BL1040" s="10"/>
      <c r="BM1040" s="10"/>
      <c r="BN1040" s="10"/>
      <c r="BO1040" s="10"/>
      <c r="BP1040" s="10">
        <v>12</v>
      </c>
      <c r="BQ1040" s="10"/>
      <c r="BR1040" s="10"/>
      <c r="BS1040" s="10" t="s">
        <v>844</v>
      </c>
      <c r="BT1040" s="10"/>
      <c r="BU1040" s="10" t="s">
        <v>2164</v>
      </c>
      <c r="BV1040">
        <v>36.630000000000003</v>
      </c>
      <c r="BW1040">
        <v>0.92</v>
      </c>
      <c r="BX1040">
        <v>5</v>
      </c>
      <c r="BY1040">
        <v>40.31</v>
      </c>
      <c r="BZ1040">
        <v>0.19</v>
      </c>
      <c r="CA1040">
        <v>5</v>
      </c>
      <c r="CB1040" t="s">
        <v>113</v>
      </c>
      <c r="CC1040" t="s">
        <v>1814</v>
      </c>
    </row>
    <row r="1041" spans="1:81" x14ac:dyDescent="0.25">
      <c r="A1041" s="10" t="s">
        <v>2046</v>
      </c>
      <c r="B1041">
        <v>1040</v>
      </c>
      <c r="C1041" s="10">
        <v>90</v>
      </c>
      <c r="D1041" s="10">
        <v>83</v>
      </c>
      <c r="E1041" s="10">
        <v>227</v>
      </c>
      <c r="F1041" s="10">
        <v>244</v>
      </c>
      <c r="G1041" s="10">
        <v>570</v>
      </c>
      <c r="H1041" s="10">
        <v>908</v>
      </c>
      <c r="I1041" s="10" t="s">
        <v>490</v>
      </c>
      <c r="J1041" s="10" t="s">
        <v>2155</v>
      </c>
      <c r="K1041" s="10"/>
      <c r="L1041" s="10"/>
      <c r="M1041" s="10" t="s">
        <v>85</v>
      </c>
      <c r="N1041" s="10"/>
      <c r="O1041" s="10" t="s">
        <v>14</v>
      </c>
      <c r="P1041" s="10" t="s">
        <v>2156</v>
      </c>
      <c r="Q1041" s="10" t="s">
        <v>2157</v>
      </c>
      <c r="R1041" s="10">
        <v>2020</v>
      </c>
      <c r="S1041" s="10" t="s">
        <v>342</v>
      </c>
      <c r="T1041" s="10"/>
      <c r="U1041" s="10" t="s">
        <v>2158</v>
      </c>
      <c r="V1041" s="10" t="s">
        <v>2159</v>
      </c>
      <c r="W1041" s="10" t="s">
        <v>91</v>
      </c>
      <c r="X1041" s="10" t="s">
        <v>508</v>
      </c>
      <c r="Y1041" s="10" t="s">
        <v>509</v>
      </c>
      <c r="Z1041" s="10" t="s">
        <v>2160</v>
      </c>
      <c r="AA1041" s="10" t="s">
        <v>2161</v>
      </c>
      <c r="AB1041" s="10" t="s">
        <v>2162</v>
      </c>
      <c r="AC1041" s="10" t="s">
        <v>2163</v>
      </c>
      <c r="AD1041" s="10" t="s">
        <v>132</v>
      </c>
      <c r="AE1041" s="10" t="s">
        <v>514</v>
      </c>
      <c r="AF1041" s="10" t="s">
        <v>100</v>
      </c>
      <c r="AG1041" s="10" t="s">
        <v>102</v>
      </c>
      <c r="AH1041" s="10" t="s">
        <v>102</v>
      </c>
      <c r="AI1041" s="10" t="s">
        <v>134</v>
      </c>
      <c r="AJ1041" s="10" t="s">
        <v>2056</v>
      </c>
      <c r="AK1041" s="10"/>
      <c r="AL1041" s="10"/>
      <c r="AM1041" s="10" t="s">
        <v>136</v>
      </c>
      <c r="AN1041" s="10" t="s">
        <v>106</v>
      </c>
      <c r="AO1041" s="10">
        <v>53.577055555599998</v>
      </c>
      <c r="AP1041" s="10">
        <v>9.7826388888999993</v>
      </c>
      <c r="AQ1041" s="10">
        <v>51</v>
      </c>
      <c r="AR1041" s="10"/>
      <c r="AS1041" s="10"/>
      <c r="AT1041" s="10"/>
      <c r="AU1041" s="10">
        <f>((81.1+133.3)/2)/1000</f>
        <v>0.1072</v>
      </c>
      <c r="AV1041" s="10"/>
      <c r="AW1041" s="10" t="s">
        <v>108</v>
      </c>
      <c r="AX1041" s="10"/>
      <c r="AY1041" s="10"/>
      <c r="AZ1041" s="10" t="s">
        <v>109</v>
      </c>
      <c r="BA1041" s="10" t="s">
        <v>2071</v>
      </c>
      <c r="BB1041" s="10">
        <v>25</v>
      </c>
      <c r="BC1041" s="10">
        <v>28</v>
      </c>
      <c r="BD1041" s="10">
        <f>(0.3+0.2)/2</f>
        <v>0.25</v>
      </c>
      <c r="BE1041" s="10" t="s">
        <v>139</v>
      </c>
      <c r="BF1041" s="10">
        <v>77</v>
      </c>
      <c r="BG1041" s="10">
        <v>0.1</v>
      </c>
      <c r="BH1041" s="10"/>
      <c r="BI1041" s="10"/>
      <c r="BJ1041" s="10"/>
      <c r="BK1041" s="10"/>
      <c r="BL1041" s="10"/>
      <c r="BM1041" s="10"/>
      <c r="BN1041" s="10"/>
      <c r="BO1041" s="10"/>
      <c r="BP1041" s="10">
        <v>12</v>
      </c>
      <c r="BQ1041" s="10"/>
      <c r="BR1041" s="10"/>
      <c r="BS1041" s="10" t="s">
        <v>844</v>
      </c>
      <c r="BT1041" s="10"/>
      <c r="BU1041" s="10" t="s">
        <v>2164</v>
      </c>
      <c r="BV1041">
        <v>40.31</v>
      </c>
      <c r="BW1041">
        <v>0.19</v>
      </c>
      <c r="BX1041">
        <v>5</v>
      </c>
      <c r="BY1041">
        <v>39.130000000000003</v>
      </c>
      <c r="BZ1041">
        <v>0.14000000000000001</v>
      </c>
      <c r="CA1041">
        <v>5</v>
      </c>
      <c r="CB1041" t="s">
        <v>113</v>
      </c>
      <c r="CC1041" t="s">
        <v>1814</v>
      </c>
    </row>
    <row r="1042" spans="1:81" x14ac:dyDescent="0.25">
      <c r="A1042" s="10" t="s">
        <v>2046</v>
      </c>
      <c r="B1042">
        <v>1041</v>
      </c>
      <c r="C1042" s="10">
        <v>100</v>
      </c>
      <c r="D1042" s="10">
        <v>95</v>
      </c>
      <c r="E1042" s="10">
        <v>228</v>
      </c>
      <c r="F1042" s="10">
        <v>245</v>
      </c>
      <c r="G1042" s="10">
        <v>571</v>
      </c>
      <c r="H1042" s="10">
        <v>909</v>
      </c>
      <c r="I1042" s="10" t="s">
        <v>490</v>
      </c>
      <c r="J1042" s="10" t="s">
        <v>691</v>
      </c>
      <c r="K1042" s="10"/>
      <c r="L1042" s="10"/>
      <c r="M1042" s="10" t="s">
        <v>85</v>
      </c>
      <c r="N1042" s="10"/>
      <c r="O1042" s="10" t="s">
        <v>250</v>
      </c>
      <c r="P1042" s="10" t="s">
        <v>2165</v>
      </c>
      <c r="Q1042" s="10" t="s">
        <v>2166</v>
      </c>
      <c r="R1042" s="10">
        <v>2012</v>
      </c>
      <c r="S1042" s="10" t="s">
        <v>253</v>
      </c>
      <c r="T1042" s="10"/>
      <c r="U1042" s="10"/>
      <c r="V1042" s="10" t="s">
        <v>2167</v>
      </c>
      <c r="W1042" s="10" t="s">
        <v>91</v>
      </c>
      <c r="X1042" s="10" t="s">
        <v>1849</v>
      </c>
      <c r="Y1042" s="10" t="s">
        <v>2168</v>
      </c>
      <c r="Z1042" s="10" t="s">
        <v>2169</v>
      </c>
      <c r="AA1042" s="10" t="s">
        <v>2170</v>
      </c>
      <c r="AB1042" s="10" t="s">
        <v>2171</v>
      </c>
      <c r="AC1042" s="10" t="s">
        <v>2172</v>
      </c>
      <c r="AD1042" s="10" t="s">
        <v>132</v>
      </c>
      <c r="AE1042" s="10" t="s">
        <v>133</v>
      </c>
      <c r="AF1042" s="10" t="s">
        <v>100</v>
      </c>
      <c r="AG1042" s="10" t="s">
        <v>102</v>
      </c>
      <c r="AH1042" s="10" t="s">
        <v>102</v>
      </c>
      <c r="AI1042" s="10" t="s">
        <v>134</v>
      </c>
      <c r="AJ1042" s="10" t="s">
        <v>2056</v>
      </c>
      <c r="AK1042" s="10"/>
      <c r="AL1042" s="10"/>
      <c r="AM1042" s="10" t="s">
        <v>136</v>
      </c>
      <c r="AN1042" s="10" t="s">
        <v>106</v>
      </c>
      <c r="AO1042" s="10"/>
      <c r="AP1042" s="10"/>
      <c r="AQ1042" s="10"/>
      <c r="AR1042" s="10"/>
      <c r="AS1042" s="10"/>
      <c r="AT1042" s="10">
        <f>((10.9+9.9)/2)*10</f>
        <v>104</v>
      </c>
      <c r="AU1042" s="10">
        <f>(5.5+4.4)/2</f>
        <v>4.95</v>
      </c>
      <c r="AV1042" s="10"/>
      <c r="AW1042" s="10" t="s">
        <v>108</v>
      </c>
      <c r="AX1042" s="10">
        <v>15</v>
      </c>
      <c r="AY1042" s="10" t="s">
        <v>2057</v>
      </c>
      <c r="AZ1042" s="10" t="s">
        <v>109</v>
      </c>
      <c r="BA1042" s="10" t="s">
        <v>2058</v>
      </c>
      <c r="BB1042" s="10">
        <v>5.3</v>
      </c>
      <c r="BC1042" s="10">
        <v>10.5</v>
      </c>
      <c r="BD1042" s="10">
        <v>0.5</v>
      </c>
      <c r="BE1042" s="10" t="s">
        <v>139</v>
      </c>
      <c r="BF1042" s="10">
        <v>30</v>
      </c>
      <c r="BG1042" s="10">
        <v>0.25</v>
      </c>
      <c r="BH1042" s="10"/>
      <c r="BI1042" s="10"/>
      <c r="BJ1042" s="10"/>
      <c r="BK1042" s="10"/>
      <c r="BL1042" s="10"/>
      <c r="BM1042" s="10"/>
      <c r="BN1042" s="10">
        <v>30</v>
      </c>
      <c r="BO1042" s="10"/>
      <c r="BP1042" s="10">
        <v>10</v>
      </c>
      <c r="BQ1042" s="10"/>
      <c r="BR1042" s="10"/>
      <c r="BS1042" s="10"/>
      <c r="BT1042" s="10" t="s">
        <v>2121</v>
      </c>
      <c r="BU1042" s="10" t="s">
        <v>2173</v>
      </c>
      <c r="BV1042">
        <v>24.4</v>
      </c>
      <c r="BW1042">
        <v>0.2</v>
      </c>
      <c r="BX1042">
        <v>4</v>
      </c>
      <c r="BY1042">
        <v>28.1</v>
      </c>
      <c r="BZ1042">
        <v>0.6</v>
      </c>
      <c r="CA1042">
        <v>4</v>
      </c>
      <c r="CB1042" t="s">
        <v>113</v>
      </c>
      <c r="CC1042" t="s">
        <v>2122</v>
      </c>
    </row>
    <row r="1043" spans="1:81" x14ac:dyDescent="0.25">
      <c r="A1043" s="10" t="s">
        <v>2046</v>
      </c>
      <c r="B1043">
        <v>1042</v>
      </c>
      <c r="C1043" s="10">
        <v>100</v>
      </c>
      <c r="D1043" s="10">
        <v>95</v>
      </c>
      <c r="E1043" s="10">
        <v>228</v>
      </c>
      <c r="F1043" s="10">
        <v>245</v>
      </c>
      <c r="G1043" s="10">
        <v>571</v>
      </c>
      <c r="H1043" s="10">
        <v>910</v>
      </c>
      <c r="I1043" s="10" t="s">
        <v>490</v>
      </c>
      <c r="J1043" s="10" t="s">
        <v>691</v>
      </c>
      <c r="K1043" s="10"/>
      <c r="L1043" s="10"/>
      <c r="M1043" s="10" t="s">
        <v>85</v>
      </c>
      <c r="N1043" s="10"/>
      <c r="O1043" s="10" t="s">
        <v>250</v>
      </c>
      <c r="P1043" s="10" t="s">
        <v>2165</v>
      </c>
      <c r="Q1043" s="10" t="s">
        <v>2166</v>
      </c>
      <c r="R1043" s="10">
        <v>2012</v>
      </c>
      <c r="S1043" s="10" t="s">
        <v>253</v>
      </c>
      <c r="T1043" s="10"/>
      <c r="U1043" s="10"/>
      <c r="V1043" s="10" t="s">
        <v>2167</v>
      </c>
      <c r="W1043" s="10" t="s">
        <v>91</v>
      </c>
      <c r="X1043" s="10" t="s">
        <v>1849</v>
      </c>
      <c r="Y1043" s="10" t="s">
        <v>2168</v>
      </c>
      <c r="Z1043" s="10" t="s">
        <v>2169</v>
      </c>
      <c r="AA1043" s="10" t="s">
        <v>2170</v>
      </c>
      <c r="AB1043" s="10" t="s">
        <v>2171</v>
      </c>
      <c r="AC1043" s="10" t="s">
        <v>2172</v>
      </c>
      <c r="AD1043" s="10" t="s">
        <v>132</v>
      </c>
      <c r="AE1043" s="10" t="s">
        <v>133</v>
      </c>
      <c r="AF1043" s="10" t="s">
        <v>100</v>
      </c>
      <c r="AG1043" s="10" t="s">
        <v>102</v>
      </c>
      <c r="AH1043" s="10" t="s">
        <v>102</v>
      </c>
      <c r="AI1043" s="10" t="s">
        <v>134</v>
      </c>
      <c r="AJ1043" s="10" t="s">
        <v>2056</v>
      </c>
      <c r="AK1043" s="10"/>
      <c r="AL1043" s="10"/>
      <c r="AM1043" s="10" t="s">
        <v>136</v>
      </c>
      <c r="AN1043" s="10" t="s">
        <v>106</v>
      </c>
      <c r="AO1043" s="10"/>
      <c r="AP1043" s="10"/>
      <c r="AQ1043" s="10"/>
      <c r="AR1043" s="10"/>
      <c r="AS1043" s="10"/>
      <c r="AT1043" s="10">
        <f>((10+9.9)/2)*10</f>
        <v>99.5</v>
      </c>
      <c r="AU1043" s="10">
        <f>(4.4+5.4)/2</f>
        <v>4.9000000000000004</v>
      </c>
      <c r="AV1043" s="10"/>
      <c r="AW1043" s="10" t="s">
        <v>108</v>
      </c>
      <c r="AX1043" s="10">
        <v>15</v>
      </c>
      <c r="AY1043" s="10" t="s">
        <v>134</v>
      </c>
      <c r="AZ1043" s="10" t="s">
        <v>109</v>
      </c>
      <c r="BA1043" s="10" t="s">
        <v>2058</v>
      </c>
      <c r="BB1043" s="10">
        <v>10.5</v>
      </c>
      <c r="BC1043" s="10">
        <v>15</v>
      </c>
      <c r="BD1043" s="10">
        <v>0.5</v>
      </c>
      <c r="BE1043" s="10" t="s">
        <v>139</v>
      </c>
      <c r="BF1043" s="10">
        <v>30</v>
      </c>
      <c r="BG1043" s="10">
        <v>0.25</v>
      </c>
      <c r="BH1043" s="10"/>
      <c r="BI1043" s="10"/>
      <c r="BJ1043" s="10"/>
      <c r="BK1043" s="10"/>
      <c r="BL1043" s="10"/>
      <c r="BM1043" s="10"/>
      <c r="BN1043" s="10">
        <v>30</v>
      </c>
      <c r="BO1043" s="10"/>
      <c r="BP1043" s="10">
        <v>10</v>
      </c>
      <c r="BQ1043" s="10"/>
      <c r="BR1043" s="10"/>
      <c r="BS1043" s="10"/>
      <c r="BT1043" s="10" t="s">
        <v>2121</v>
      </c>
      <c r="BU1043" s="10" t="s">
        <v>2174</v>
      </c>
      <c r="BV1043">
        <v>28.1</v>
      </c>
      <c r="BW1043">
        <v>0.6</v>
      </c>
      <c r="BX1043">
        <v>4</v>
      </c>
      <c r="BY1043">
        <v>28</v>
      </c>
      <c r="BZ1043">
        <v>0.4</v>
      </c>
      <c r="CA1043">
        <v>4</v>
      </c>
      <c r="CB1043" t="s">
        <v>113</v>
      </c>
      <c r="CC1043" t="s">
        <v>2122</v>
      </c>
    </row>
    <row r="1044" spans="1:81" x14ac:dyDescent="0.25">
      <c r="A1044" s="10" t="s">
        <v>2046</v>
      </c>
      <c r="B1044">
        <v>1043</v>
      </c>
      <c r="C1044" s="10">
        <v>100</v>
      </c>
      <c r="D1044" s="10">
        <v>95</v>
      </c>
      <c r="E1044" s="10">
        <v>228</v>
      </c>
      <c r="F1044" s="10">
        <v>245</v>
      </c>
      <c r="G1044" s="10">
        <v>571</v>
      </c>
      <c r="H1044" s="10">
        <v>911</v>
      </c>
      <c r="I1044" s="10" t="s">
        <v>490</v>
      </c>
      <c r="J1044" s="10" t="s">
        <v>691</v>
      </c>
      <c r="K1044" s="10"/>
      <c r="L1044" s="10"/>
      <c r="M1044" s="10" t="s">
        <v>85</v>
      </c>
      <c r="N1044" s="10"/>
      <c r="O1044" s="10" t="s">
        <v>250</v>
      </c>
      <c r="P1044" s="10" t="s">
        <v>2165</v>
      </c>
      <c r="Q1044" s="10" t="s">
        <v>2166</v>
      </c>
      <c r="R1044" s="10">
        <v>2012</v>
      </c>
      <c r="S1044" s="10" t="s">
        <v>253</v>
      </c>
      <c r="T1044" s="10"/>
      <c r="U1044" s="10"/>
      <c r="V1044" s="10" t="s">
        <v>2167</v>
      </c>
      <c r="W1044" s="10" t="s">
        <v>91</v>
      </c>
      <c r="X1044" s="10" t="s">
        <v>1849</v>
      </c>
      <c r="Y1044" s="10" t="s">
        <v>2168</v>
      </c>
      <c r="Z1044" s="10" t="s">
        <v>2169</v>
      </c>
      <c r="AA1044" s="10" t="s">
        <v>2170</v>
      </c>
      <c r="AB1044" s="10" t="s">
        <v>2171</v>
      </c>
      <c r="AC1044" s="10" t="s">
        <v>2172</v>
      </c>
      <c r="AD1044" s="10" t="s">
        <v>132</v>
      </c>
      <c r="AE1044" s="10" t="s">
        <v>133</v>
      </c>
      <c r="AF1044" s="10" t="s">
        <v>100</v>
      </c>
      <c r="AG1044" s="10" t="s">
        <v>102</v>
      </c>
      <c r="AH1044" s="10" t="s">
        <v>102</v>
      </c>
      <c r="AI1044" s="10" t="s">
        <v>134</v>
      </c>
      <c r="AJ1044" s="10" t="s">
        <v>2056</v>
      </c>
      <c r="AK1044" s="10"/>
      <c r="AL1044" s="10"/>
      <c r="AM1044" s="10" t="s">
        <v>136</v>
      </c>
      <c r="AN1044" s="10" t="s">
        <v>106</v>
      </c>
      <c r="AO1044" s="10"/>
      <c r="AP1044" s="10"/>
      <c r="AQ1044" s="10"/>
      <c r="AR1044" s="10"/>
      <c r="AS1044" s="10"/>
      <c r="AT1044" s="10">
        <v>100</v>
      </c>
      <c r="AU1044" s="10">
        <f>(5.4+5.5)/2</f>
        <v>5.45</v>
      </c>
      <c r="AV1044" s="10"/>
      <c r="AW1044" s="10" t="s">
        <v>108</v>
      </c>
      <c r="AX1044" s="10">
        <v>15</v>
      </c>
      <c r="AY1044" s="10" t="s">
        <v>134</v>
      </c>
      <c r="AZ1044" s="10" t="s">
        <v>109</v>
      </c>
      <c r="BA1044" s="10" t="s">
        <v>2058</v>
      </c>
      <c r="BB1044" s="10">
        <v>15</v>
      </c>
      <c r="BC1044" s="10">
        <v>15.8</v>
      </c>
      <c r="BD1044" s="10">
        <v>0.5</v>
      </c>
      <c r="BE1044" s="10" t="s">
        <v>139</v>
      </c>
      <c r="BF1044" s="10">
        <v>30</v>
      </c>
      <c r="BG1044" s="10">
        <v>0.25</v>
      </c>
      <c r="BH1044" s="10"/>
      <c r="BI1044" s="10"/>
      <c r="BJ1044" s="10"/>
      <c r="BK1044" s="10"/>
      <c r="BL1044" s="10"/>
      <c r="BM1044" s="10"/>
      <c r="BN1044" s="10">
        <v>30</v>
      </c>
      <c r="BO1044" s="10"/>
      <c r="BP1044" s="10">
        <v>10</v>
      </c>
      <c r="BQ1044" s="10"/>
      <c r="BR1044" s="10"/>
      <c r="BS1044" s="10"/>
      <c r="BT1044" s="10" t="s">
        <v>2121</v>
      </c>
      <c r="BU1044" s="10" t="s">
        <v>2174</v>
      </c>
      <c r="BV1044">
        <v>28</v>
      </c>
      <c r="BW1044">
        <v>0.4</v>
      </c>
      <c r="BX1044">
        <v>4</v>
      </c>
      <c r="BY1044">
        <v>27</v>
      </c>
      <c r="BZ1044">
        <v>0.4</v>
      </c>
      <c r="CA1044">
        <v>4</v>
      </c>
      <c r="CB1044" t="s">
        <v>113</v>
      </c>
      <c r="CC1044" t="s">
        <v>2122</v>
      </c>
    </row>
    <row r="1045" spans="1:81" x14ac:dyDescent="0.25">
      <c r="A1045" s="10" t="s">
        <v>2046</v>
      </c>
      <c r="B1045">
        <v>1044</v>
      </c>
      <c r="C1045" s="10">
        <v>105</v>
      </c>
      <c r="D1045" s="10">
        <v>99</v>
      </c>
      <c r="E1045" s="10">
        <v>229</v>
      </c>
      <c r="F1045" s="10">
        <v>246</v>
      </c>
      <c r="G1045" s="10">
        <v>572</v>
      </c>
      <c r="H1045" s="10">
        <v>912</v>
      </c>
      <c r="I1045" s="10" t="s">
        <v>2175</v>
      </c>
      <c r="J1045" s="10" t="s">
        <v>2176</v>
      </c>
      <c r="K1045" s="10"/>
      <c r="L1045" s="10"/>
      <c r="M1045" s="10" t="s">
        <v>85</v>
      </c>
      <c r="N1045" s="10"/>
      <c r="O1045" s="10" t="s">
        <v>14</v>
      </c>
      <c r="P1045" s="10" t="s">
        <v>2177</v>
      </c>
      <c r="Q1045" s="10" t="s">
        <v>2178</v>
      </c>
      <c r="R1045" s="10">
        <v>2012</v>
      </c>
      <c r="S1045" s="10" t="s">
        <v>494</v>
      </c>
      <c r="T1045" s="10"/>
      <c r="U1045" s="10" t="s">
        <v>2179</v>
      </c>
      <c r="V1045" s="10" t="s">
        <v>2180</v>
      </c>
      <c r="W1045" s="10" t="s">
        <v>91</v>
      </c>
      <c r="X1045" s="10" t="s">
        <v>126</v>
      </c>
      <c r="Y1045" s="10" t="s">
        <v>190</v>
      </c>
      <c r="Z1045" s="10" t="s">
        <v>191</v>
      </c>
      <c r="AA1045" s="10" t="s">
        <v>192</v>
      </c>
      <c r="AB1045" s="10" t="s">
        <v>1251</v>
      </c>
      <c r="AC1045" s="10" t="s">
        <v>1252</v>
      </c>
      <c r="AD1045" s="10" t="s">
        <v>132</v>
      </c>
      <c r="AE1045" s="10" t="s">
        <v>133</v>
      </c>
      <c r="AF1045" s="10" t="s">
        <v>100</v>
      </c>
      <c r="AG1045" s="10" t="s">
        <v>102</v>
      </c>
      <c r="AH1045" s="10" t="s">
        <v>102</v>
      </c>
      <c r="AI1045" s="10" t="s">
        <v>134</v>
      </c>
      <c r="AJ1045" s="10" t="s">
        <v>2056</v>
      </c>
      <c r="AK1045" s="10"/>
      <c r="AL1045" s="10"/>
      <c r="AM1045" s="10" t="s">
        <v>136</v>
      </c>
      <c r="AN1045" s="10" t="s">
        <v>106</v>
      </c>
      <c r="AO1045" s="10">
        <v>40.237222222200003</v>
      </c>
      <c r="AP1045" s="10">
        <v>-105.8830555556</v>
      </c>
      <c r="AQ1045" s="10">
        <v>3324</v>
      </c>
      <c r="AR1045" s="10"/>
      <c r="AS1045" s="10"/>
      <c r="AT1045" s="10">
        <f>(86+90)/2</f>
        <v>88</v>
      </c>
      <c r="AU1045" s="10">
        <f>(9.2+10)/2</f>
        <v>9.6</v>
      </c>
      <c r="AV1045" s="10"/>
      <c r="AW1045" s="10" t="s">
        <v>108</v>
      </c>
      <c r="AX1045" s="10">
        <v>11</v>
      </c>
      <c r="AY1045" s="10" t="s">
        <v>2057</v>
      </c>
      <c r="AZ1045" s="10" t="s">
        <v>109</v>
      </c>
      <c r="BA1045" s="10" t="s">
        <v>2142</v>
      </c>
      <c r="BB1045" s="10">
        <v>10.1</v>
      </c>
      <c r="BC1045" s="10">
        <v>15</v>
      </c>
      <c r="BD1045" s="10">
        <f>(0.5+0.8)/2</f>
        <v>0.65</v>
      </c>
      <c r="BE1045" s="10" t="s">
        <v>111</v>
      </c>
      <c r="BF1045" s="10">
        <v>42</v>
      </c>
      <c r="BG1045" s="10">
        <v>0.3</v>
      </c>
      <c r="BH1045" s="10"/>
      <c r="BI1045" s="10"/>
      <c r="BJ1045" s="10"/>
      <c r="BK1045" s="10"/>
      <c r="BL1045" s="10"/>
      <c r="BM1045" s="10"/>
      <c r="BN1045" s="10"/>
      <c r="BO1045" s="10"/>
      <c r="BP1045" s="10"/>
      <c r="BQ1045" s="10"/>
      <c r="BR1045" s="10"/>
      <c r="BS1045" s="10"/>
      <c r="BT1045" s="10"/>
      <c r="BU1045" s="10" t="s">
        <v>2181</v>
      </c>
      <c r="BV1045">
        <v>27.7</v>
      </c>
      <c r="BW1045">
        <v>0.6</v>
      </c>
      <c r="BX1045">
        <v>7</v>
      </c>
      <c r="BY1045">
        <v>28.5</v>
      </c>
      <c r="BZ1045">
        <v>0.4</v>
      </c>
      <c r="CA1045">
        <v>7</v>
      </c>
      <c r="CB1045" t="s">
        <v>113</v>
      </c>
      <c r="CC1045" t="s">
        <v>1814</v>
      </c>
    </row>
    <row r="1046" spans="1:81" x14ac:dyDescent="0.25">
      <c r="A1046" s="10" t="s">
        <v>2046</v>
      </c>
      <c r="B1046">
        <v>1045</v>
      </c>
      <c r="C1046" s="10">
        <v>105</v>
      </c>
      <c r="D1046" s="10">
        <v>99</v>
      </c>
      <c r="E1046" s="10">
        <v>229</v>
      </c>
      <c r="F1046" s="10">
        <v>246</v>
      </c>
      <c r="G1046" s="10">
        <v>572</v>
      </c>
      <c r="H1046" s="10">
        <v>913</v>
      </c>
      <c r="I1046" s="10" t="s">
        <v>2175</v>
      </c>
      <c r="J1046" s="10" t="s">
        <v>2176</v>
      </c>
      <c r="K1046" s="10"/>
      <c r="L1046" s="10"/>
      <c r="M1046" s="10" t="s">
        <v>85</v>
      </c>
      <c r="N1046" s="10"/>
      <c r="O1046" s="10" t="s">
        <v>14</v>
      </c>
      <c r="P1046" s="10" t="s">
        <v>2177</v>
      </c>
      <c r="Q1046" s="10" t="s">
        <v>2178</v>
      </c>
      <c r="R1046" s="10">
        <v>2012</v>
      </c>
      <c r="S1046" s="10" t="s">
        <v>494</v>
      </c>
      <c r="T1046" s="10"/>
      <c r="U1046" s="10" t="s">
        <v>2179</v>
      </c>
      <c r="V1046" s="10" t="s">
        <v>2180</v>
      </c>
      <c r="W1046" s="10" t="s">
        <v>91</v>
      </c>
      <c r="X1046" s="10" t="s">
        <v>126</v>
      </c>
      <c r="Y1046" s="10" t="s">
        <v>190</v>
      </c>
      <c r="Z1046" s="10" t="s">
        <v>191</v>
      </c>
      <c r="AA1046" s="10" t="s">
        <v>192</v>
      </c>
      <c r="AB1046" s="10" t="s">
        <v>1251</v>
      </c>
      <c r="AC1046" s="10" t="s">
        <v>1252</v>
      </c>
      <c r="AD1046" s="10" t="s">
        <v>132</v>
      </c>
      <c r="AE1046" s="10" t="s">
        <v>133</v>
      </c>
      <c r="AF1046" s="10" t="s">
        <v>100</v>
      </c>
      <c r="AG1046" s="10" t="s">
        <v>102</v>
      </c>
      <c r="AH1046" s="10" t="s">
        <v>102</v>
      </c>
      <c r="AI1046" s="10" t="s">
        <v>134</v>
      </c>
      <c r="AJ1046" s="10" t="s">
        <v>2056</v>
      </c>
      <c r="AK1046" s="10"/>
      <c r="AL1046" s="10"/>
      <c r="AM1046" s="10" t="s">
        <v>136</v>
      </c>
      <c r="AN1046" s="10" t="s">
        <v>106</v>
      </c>
      <c r="AO1046" s="10">
        <v>40.237222222200003</v>
      </c>
      <c r="AP1046" s="10">
        <v>-105.8830555556</v>
      </c>
      <c r="AQ1046" s="10">
        <v>3324</v>
      </c>
      <c r="AR1046" s="10"/>
      <c r="AS1046" s="10"/>
      <c r="AT1046" s="10">
        <f>(103+90)/2</f>
        <v>96.5</v>
      </c>
      <c r="AU1046" s="10">
        <f>(17.1+10)/2</f>
        <v>13.55</v>
      </c>
      <c r="AV1046" s="10"/>
      <c r="AW1046" s="10" t="s">
        <v>108</v>
      </c>
      <c r="AX1046" s="10">
        <v>11</v>
      </c>
      <c r="AY1046" s="10" t="s">
        <v>2057</v>
      </c>
      <c r="AZ1046" s="10" t="s">
        <v>109</v>
      </c>
      <c r="BA1046" s="10" t="s">
        <v>2142</v>
      </c>
      <c r="BB1046" s="10">
        <v>15</v>
      </c>
      <c r="BC1046" s="10">
        <v>19.8</v>
      </c>
      <c r="BD1046" s="10">
        <f>(0.6+0.8)/2</f>
        <v>0.7</v>
      </c>
      <c r="BE1046" s="10" t="s">
        <v>111</v>
      </c>
      <c r="BF1046" s="10">
        <v>42</v>
      </c>
      <c r="BG1046" s="10">
        <v>0.3</v>
      </c>
      <c r="BH1046" s="10"/>
      <c r="BI1046" s="10"/>
      <c r="BJ1046" s="10"/>
      <c r="BK1046" s="10"/>
      <c r="BL1046" s="10"/>
      <c r="BM1046" s="10"/>
      <c r="BN1046" s="10"/>
      <c r="BO1046" s="10"/>
      <c r="BP1046" s="10"/>
      <c r="BQ1046" s="10"/>
      <c r="BR1046" s="10"/>
      <c r="BS1046" s="10"/>
      <c r="BT1046" s="10"/>
      <c r="BU1046" s="10" t="s">
        <v>2181</v>
      </c>
      <c r="BV1046">
        <v>28.5</v>
      </c>
      <c r="BW1046">
        <v>0.4</v>
      </c>
      <c r="BX1046">
        <v>7</v>
      </c>
      <c r="BY1046">
        <v>29.1</v>
      </c>
      <c r="BZ1046">
        <v>0.7</v>
      </c>
      <c r="CA1046">
        <v>5</v>
      </c>
      <c r="CB1046" t="s">
        <v>113</v>
      </c>
      <c r="CC1046" t="s">
        <v>1814</v>
      </c>
    </row>
    <row r="1047" spans="1:81" x14ac:dyDescent="0.25">
      <c r="A1047" s="10" t="s">
        <v>2046</v>
      </c>
      <c r="B1047">
        <v>1046</v>
      </c>
      <c r="C1047" s="10">
        <v>105</v>
      </c>
      <c r="D1047" s="10">
        <v>99</v>
      </c>
      <c r="E1047" s="10">
        <v>230</v>
      </c>
      <c r="F1047" s="10">
        <v>247</v>
      </c>
      <c r="G1047" s="10">
        <v>573</v>
      </c>
      <c r="H1047" s="10">
        <v>914</v>
      </c>
      <c r="I1047" s="10" t="s">
        <v>2182</v>
      </c>
      <c r="J1047" s="10" t="s">
        <v>2176</v>
      </c>
      <c r="K1047" s="10"/>
      <c r="L1047" s="10"/>
      <c r="M1047" s="10" t="s">
        <v>85</v>
      </c>
      <c r="N1047" s="10"/>
      <c r="O1047" s="10" t="s">
        <v>14</v>
      </c>
      <c r="P1047" s="10" t="s">
        <v>2177</v>
      </c>
      <c r="Q1047" s="10" t="s">
        <v>2178</v>
      </c>
      <c r="R1047" s="10">
        <v>2012</v>
      </c>
      <c r="S1047" s="10" t="s">
        <v>494</v>
      </c>
      <c r="T1047" s="10"/>
      <c r="U1047" s="10" t="s">
        <v>2179</v>
      </c>
      <c r="V1047" s="10" t="s">
        <v>2180</v>
      </c>
      <c r="W1047" s="10" t="s">
        <v>91</v>
      </c>
      <c r="X1047" s="10" t="s">
        <v>126</v>
      </c>
      <c r="Y1047" s="10" t="s">
        <v>190</v>
      </c>
      <c r="Z1047" s="10" t="s">
        <v>191</v>
      </c>
      <c r="AA1047" s="10" t="s">
        <v>192</v>
      </c>
      <c r="AB1047" s="10" t="s">
        <v>1251</v>
      </c>
      <c r="AC1047" s="10" t="s">
        <v>1252</v>
      </c>
      <c r="AD1047" s="10" t="s">
        <v>132</v>
      </c>
      <c r="AE1047" s="10" t="s">
        <v>133</v>
      </c>
      <c r="AF1047" s="10" t="s">
        <v>100</v>
      </c>
      <c r="AG1047" s="10" t="s">
        <v>102</v>
      </c>
      <c r="AH1047" s="10" t="s">
        <v>102</v>
      </c>
      <c r="AI1047" s="10" t="s">
        <v>134</v>
      </c>
      <c r="AJ1047" s="10" t="s">
        <v>2056</v>
      </c>
      <c r="AK1047" s="10"/>
      <c r="AL1047" s="10"/>
      <c r="AM1047" s="10" t="s">
        <v>136</v>
      </c>
      <c r="AN1047" s="10" t="s">
        <v>106</v>
      </c>
      <c r="AO1047" s="10"/>
      <c r="AP1047" s="10"/>
      <c r="AQ1047" s="10"/>
      <c r="AR1047" s="10"/>
      <c r="AS1047" s="10"/>
      <c r="AT1047" s="10">
        <f>(81+75)/2</f>
        <v>78</v>
      </c>
      <c r="AU1047" s="10">
        <f>(7.6+6.2)/2</f>
        <v>6.9</v>
      </c>
      <c r="AV1047" s="10"/>
      <c r="AW1047" s="10" t="s">
        <v>108</v>
      </c>
      <c r="AX1047" s="10">
        <v>11</v>
      </c>
      <c r="AY1047" s="10" t="s">
        <v>2057</v>
      </c>
      <c r="AZ1047" s="10" t="s">
        <v>109</v>
      </c>
      <c r="BA1047" s="10" t="s">
        <v>2142</v>
      </c>
      <c r="BB1047" s="10">
        <v>10.1</v>
      </c>
      <c r="BC1047" s="10">
        <v>15</v>
      </c>
      <c r="BD1047" s="10">
        <f>(0.5+0.8)/2</f>
        <v>0.65</v>
      </c>
      <c r="BE1047" s="10" t="s">
        <v>111</v>
      </c>
      <c r="BF1047" s="10">
        <v>42</v>
      </c>
      <c r="BG1047" s="10">
        <v>0.3</v>
      </c>
      <c r="BH1047" s="10"/>
      <c r="BI1047" s="10"/>
      <c r="BJ1047" s="10"/>
      <c r="BK1047" s="10"/>
      <c r="BL1047" s="10"/>
      <c r="BM1047" s="10"/>
      <c r="BN1047" s="10"/>
      <c r="BO1047" s="10"/>
      <c r="BP1047" s="10"/>
      <c r="BQ1047" s="10"/>
      <c r="BR1047" s="10"/>
      <c r="BS1047" s="10"/>
      <c r="BT1047" s="10"/>
      <c r="BU1047" s="10" t="s">
        <v>2183</v>
      </c>
      <c r="BV1047">
        <v>28.2</v>
      </c>
      <c r="BW1047">
        <v>0.6</v>
      </c>
      <c r="BX1047">
        <v>17</v>
      </c>
      <c r="BY1047">
        <v>28.8</v>
      </c>
      <c r="BZ1047">
        <v>0.5</v>
      </c>
      <c r="CA1047">
        <v>13</v>
      </c>
      <c r="CB1047" t="s">
        <v>113</v>
      </c>
      <c r="CC1047" t="s">
        <v>1814</v>
      </c>
    </row>
    <row r="1048" spans="1:81" x14ac:dyDescent="0.25">
      <c r="A1048" s="10" t="s">
        <v>2046</v>
      </c>
      <c r="B1048">
        <v>1047</v>
      </c>
      <c r="C1048" s="10">
        <v>105</v>
      </c>
      <c r="D1048" s="10">
        <v>99</v>
      </c>
      <c r="E1048" s="10">
        <v>231</v>
      </c>
      <c r="F1048" s="10">
        <v>248</v>
      </c>
      <c r="G1048" s="10">
        <v>574</v>
      </c>
      <c r="H1048" s="10">
        <v>915</v>
      </c>
      <c r="I1048" s="10" t="s">
        <v>2175</v>
      </c>
      <c r="J1048" s="10" t="s">
        <v>2176</v>
      </c>
      <c r="K1048" s="10"/>
      <c r="L1048" s="10"/>
      <c r="M1048" s="10" t="s">
        <v>85</v>
      </c>
      <c r="N1048" s="10"/>
      <c r="O1048" s="10" t="s">
        <v>14</v>
      </c>
      <c r="P1048" s="10" t="s">
        <v>2177</v>
      </c>
      <c r="Q1048" s="10" t="s">
        <v>2178</v>
      </c>
      <c r="R1048" s="10">
        <v>2012</v>
      </c>
      <c r="S1048" s="10" t="s">
        <v>494</v>
      </c>
      <c r="T1048" s="10"/>
      <c r="U1048" s="10" t="s">
        <v>2179</v>
      </c>
      <c r="V1048" s="10" t="s">
        <v>2180</v>
      </c>
      <c r="W1048" s="10" t="s">
        <v>91</v>
      </c>
      <c r="X1048" s="10" t="s">
        <v>126</v>
      </c>
      <c r="Y1048" s="10" t="s">
        <v>190</v>
      </c>
      <c r="Z1048" s="10" t="s">
        <v>191</v>
      </c>
      <c r="AA1048" s="10" t="s">
        <v>192</v>
      </c>
      <c r="AB1048" s="10" t="s">
        <v>1251</v>
      </c>
      <c r="AC1048" s="10" t="s">
        <v>1252</v>
      </c>
      <c r="AD1048" s="10" t="s">
        <v>132</v>
      </c>
      <c r="AE1048" s="10" t="s">
        <v>133</v>
      </c>
      <c r="AF1048" s="10" t="s">
        <v>100</v>
      </c>
      <c r="AG1048" s="10" t="s">
        <v>102</v>
      </c>
      <c r="AH1048" s="10" t="s">
        <v>102</v>
      </c>
      <c r="AI1048" s="10" t="s">
        <v>134</v>
      </c>
      <c r="AJ1048" s="10" t="s">
        <v>2056</v>
      </c>
      <c r="AK1048" s="10"/>
      <c r="AL1048" s="10"/>
      <c r="AM1048" s="10" t="s">
        <v>136</v>
      </c>
      <c r="AN1048" s="10" t="s">
        <v>106</v>
      </c>
      <c r="AO1048" s="10"/>
      <c r="AP1048" s="10"/>
      <c r="AQ1048" s="10"/>
      <c r="AR1048" s="10"/>
      <c r="AS1048" s="10"/>
      <c r="AT1048" s="10">
        <f>(85+101)/2</f>
        <v>93</v>
      </c>
      <c r="AU1048" s="10">
        <f>(8.2+17.1)/2</f>
        <v>12.65</v>
      </c>
      <c r="AV1048" s="10"/>
      <c r="AW1048" s="10" t="s">
        <v>108</v>
      </c>
      <c r="AX1048" s="10">
        <v>11</v>
      </c>
      <c r="AY1048" s="10" t="s">
        <v>2057</v>
      </c>
      <c r="AZ1048" s="10" t="s">
        <v>109</v>
      </c>
      <c r="BA1048" s="10" t="s">
        <v>2142</v>
      </c>
      <c r="BB1048" s="10">
        <v>10.1</v>
      </c>
      <c r="BC1048" s="10">
        <v>15</v>
      </c>
      <c r="BD1048" s="10">
        <f>(0.5+0.8)/2</f>
        <v>0.65</v>
      </c>
      <c r="BE1048" s="10" t="s">
        <v>111</v>
      </c>
      <c r="BF1048" s="10">
        <v>42</v>
      </c>
      <c r="BG1048" s="10">
        <v>0.3</v>
      </c>
      <c r="BH1048" s="10"/>
      <c r="BI1048" s="10"/>
      <c r="BJ1048" s="10"/>
      <c r="BK1048" s="10"/>
      <c r="BL1048" s="10"/>
      <c r="BM1048" s="10"/>
      <c r="BN1048" s="10"/>
      <c r="BO1048" s="10"/>
      <c r="BP1048" s="10"/>
      <c r="BQ1048" s="10"/>
      <c r="BR1048" s="10"/>
      <c r="BS1048" s="10"/>
      <c r="BT1048" s="10"/>
      <c r="BU1048" s="10" t="s">
        <v>2184</v>
      </c>
      <c r="BV1048">
        <v>28</v>
      </c>
      <c r="BW1048">
        <v>0.6</v>
      </c>
      <c r="BX1048">
        <v>26</v>
      </c>
      <c r="BY1048">
        <v>29.1</v>
      </c>
      <c r="BZ1048">
        <v>0.3</v>
      </c>
      <c r="CA1048">
        <v>20</v>
      </c>
      <c r="CB1048" t="s">
        <v>113</v>
      </c>
      <c r="CC1048" t="s">
        <v>1814</v>
      </c>
    </row>
    <row r="1049" spans="1:81" x14ac:dyDescent="0.25">
      <c r="A1049" s="10" t="s">
        <v>2046</v>
      </c>
      <c r="B1049">
        <v>1048</v>
      </c>
      <c r="C1049" s="10">
        <v>105</v>
      </c>
      <c r="D1049" s="10">
        <v>99</v>
      </c>
      <c r="E1049" s="10">
        <v>231</v>
      </c>
      <c r="F1049" s="10">
        <v>248</v>
      </c>
      <c r="G1049" s="10">
        <v>574</v>
      </c>
      <c r="H1049" s="10">
        <v>916</v>
      </c>
      <c r="I1049" s="10" t="s">
        <v>2175</v>
      </c>
      <c r="J1049" s="10" t="s">
        <v>2176</v>
      </c>
      <c r="K1049" s="10"/>
      <c r="L1049" s="10"/>
      <c r="M1049" s="10" t="s">
        <v>85</v>
      </c>
      <c r="N1049" s="10"/>
      <c r="O1049" s="10" t="s">
        <v>14</v>
      </c>
      <c r="P1049" s="10" t="s">
        <v>2177</v>
      </c>
      <c r="Q1049" s="10" t="s">
        <v>2178</v>
      </c>
      <c r="R1049" s="10">
        <v>2012</v>
      </c>
      <c r="S1049" s="10" t="s">
        <v>494</v>
      </c>
      <c r="T1049" s="10"/>
      <c r="U1049" s="10" t="s">
        <v>2179</v>
      </c>
      <c r="V1049" s="10" t="s">
        <v>2180</v>
      </c>
      <c r="W1049" s="10" t="s">
        <v>91</v>
      </c>
      <c r="X1049" s="10" t="s">
        <v>126</v>
      </c>
      <c r="Y1049" s="10" t="s">
        <v>190</v>
      </c>
      <c r="Z1049" s="10" t="s">
        <v>191</v>
      </c>
      <c r="AA1049" s="10" t="s">
        <v>192</v>
      </c>
      <c r="AB1049" s="10" t="s">
        <v>1251</v>
      </c>
      <c r="AC1049" s="10" t="s">
        <v>1252</v>
      </c>
      <c r="AD1049" s="10" t="s">
        <v>132</v>
      </c>
      <c r="AE1049" s="10" t="s">
        <v>133</v>
      </c>
      <c r="AF1049" s="10" t="s">
        <v>100</v>
      </c>
      <c r="AG1049" s="10" t="s">
        <v>102</v>
      </c>
      <c r="AH1049" s="10" t="s">
        <v>102</v>
      </c>
      <c r="AI1049" s="10" t="s">
        <v>134</v>
      </c>
      <c r="AJ1049" s="10" t="s">
        <v>2056</v>
      </c>
      <c r="AK1049" s="10"/>
      <c r="AL1049" s="10"/>
      <c r="AM1049" s="10" t="s">
        <v>136</v>
      </c>
      <c r="AN1049" s="10" t="s">
        <v>106</v>
      </c>
      <c r="AO1049" s="10"/>
      <c r="AP1049" s="10"/>
      <c r="AQ1049" s="10"/>
      <c r="AR1049" s="10"/>
      <c r="AS1049" s="10"/>
      <c r="AT1049" s="10">
        <f>(101+91)/2</f>
        <v>96</v>
      </c>
      <c r="AU1049" s="10">
        <f>(11.1+17.1)/2</f>
        <v>14.100000000000001</v>
      </c>
      <c r="AV1049" s="10"/>
      <c r="AW1049" s="10" t="s">
        <v>108</v>
      </c>
      <c r="AX1049" s="10">
        <v>11</v>
      </c>
      <c r="AY1049" s="10" t="s">
        <v>2057</v>
      </c>
      <c r="AZ1049" s="10" t="s">
        <v>109</v>
      </c>
      <c r="BA1049" s="10" t="s">
        <v>2142</v>
      </c>
      <c r="BB1049" s="10">
        <v>15</v>
      </c>
      <c r="BC1049" s="10">
        <v>19.8</v>
      </c>
      <c r="BD1049" s="10">
        <f>(0.6+0.8)/2</f>
        <v>0.7</v>
      </c>
      <c r="BE1049" s="10" t="s">
        <v>111</v>
      </c>
      <c r="BF1049" s="10">
        <v>42</v>
      </c>
      <c r="BG1049" s="10">
        <v>0.3</v>
      </c>
      <c r="BH1049" s="10"/>
      <c r="BI1049" s="10"/>
      <c r="BJ1049" s="10"/>
      <c r="BK1049" s="10"/>
      <c r="BL1049" s="10"/>
      <c r="BM1049" s="10"/>
      <c r="BN1049" s="10"/>
      <c r="BO1049" s="10"/>
      <c r="BP1049" s="10"/>
      <c r="BQ1049" s="10"/>
      <c r="BR1049" s="10"/>
      <c r="BS1049" s="10"/>
      <c r="BT1049" s="10"/>
      <c r="BU1049" s="10" t="s">
        <v>2184</v>
      </c>
      <c r="BV1049">
        <v>28</v>
      </c>
      <c r="BW1049">
        <v>0.6</v>
      </c>
      <c r="BX1049">
        <v>26</v>
      </c>
      <c r="BY1049">
        <v>29.6</v>
      </c>
      <c r="BZ1049">
        <v>0.5</v>
      </c>
      <c r="CA1049">
        <v>9</v>
      </c>
      <c r="CB1049" t="s">
        <v>113</v>
      </c>
      <c r="CC1049" t="s">
        <v>1814</v>
      </c>
    </row>
    <row r="1050" spans="1:81" x14ac:dyDescent="0.25">
      <c r="A1050" s="10" t="s">
        <v>2046</v>
      </c>
      <c r="B1050">
        <v>1049</v>
      </c>
      <c r="C1050" s="10">
        <v>108</v>
      </c>
      <c r="D1050" s="10">
        <v>103</v>
      </c>
      <c r="E1050" s="10">
        <v>232</v>
      </c>
      <c r="F1050" s="10">
        <v>249</v>
      </c>
      <c r="G1050" s="10">
        <v>575</v>
      </c>
      <c r="H1050" s="10">
        <v>917</v>
      </c>
      <c r="I1050" s="10"/>
      <c r="J1050" s="10" t="s">
        <v>143</v>
      </c>
      <c r="K1050" s="10"/>
      <c r="L1050" s="10"/>
      <c r="M1050" s="10" t="s">
        <v>85</v>
      </c>
      <c r="N1050" s="10"/>
      <c r="O1050" s="10" t="s">
        <v>14</v>
      </c>
      <c r="P1050" s="10" t="s">
        <v>2185</v>
      </c>
      <c r="Q1050" s="10" t="s">
        <v>2186</v>
      </c>
      <c r="R1050" s="10">
        <v>1998</v>
      </c>
      <c r="S1050" s="10" t="s">
        <v>188</v>
      </c>
      <c r="T1050" s="10"/>
      <c r="U1050" s="10" t="s">
        <v>2187</v>
      </c>
      <c r="V1050" s="10" t="s">
        <v>2188</v>
      </c>
      <c r="W1050" s="10" t="s">
        <v>91</v>
      </c>
      <c r="X1050" s="10" t="s">
        <v>126</v>
      </c>
      <c r="Y1050" s="10" t="s">
        <v>127</v>
      </c>
      <c r="Z1050" s="10" t="s">
        <v>1342</v>
      </c>
      <c r="AA1050" s="10" t="s">
        <v>2189</v>
      </c>
      <c r="AB1050" s="10" t="s">
        <v>2190</v>
      </c>
      <c r="AC1050" s="10" t="s">
        <v>2191</v>
      </c>
      <c r="AD1050" s="10" t="s">
        <v>132</v>
      </c>
      <c r="AE1050" s="10" t="s">
        <v>133</v>
      </c>
      <c r="AF1050" s="10" t="s">
        <v>100</v>
      </c>
      <c r="AG1050" s="10" t="s">
        <v>102</v>
      </c>
      <c r="AH1050" s="10" t="s">
        <v>102</v>
      </c>
      <c r="AI1050" s="10" t="s">
        <v>134</v>
      </c>
      <c r="AJ1050" s="10" t="s">
        <v>2056</v>
      </c>
      <c r="AK1050" s="10"/>
      <c r="AL1050" s="10"/>
      <c r="AM1050" s="10" t="s">
        <v>136</v>
      </c>
      <c r="AN1050" s="10" t="s">
        <v>106</v>
      </c>
      <c r="AO1050" s="12"/>
      <c r="AP1050" s="12"/>
      <c r="AQ1050" s="12"/>
      <c r="AR1050" s="10" t="s">
        <v>107</v>
      </c>
      <c r="AS1050" s="10"/>
      <c r="AT1050" s="10">
        <v>9.8000000000000007</v>
      </c>
      <c r="AU1050" s="10">
        <v>10.9</v>
      </c>
      <c r="AV1050" s="10">
        <v>671</v>
      </c>
      <c r="AW1050" s="10" t="s">
        <v>108</v>
      </c>
      <c r="AX1050" s="10"/>
      <c r="AY1050" s="10" t="s">
        <v>103</v>
      </c>
      <c r="AZ1050" s="10" t="s">
        <v>109</v>
      </c>
      <c r="BA1050" s="10" t="s">
        <v>2142</v>
      </c>
      <c r="BB1050" s="10">
        <v>20</v>
      </c>
      <c r="BC1050" s="10">
        <v>30</v>
      </c>
      <c r="BD1050" s="10"/>
      <c r="BE1050" s="10" t="s">
        <v>139</v>
      </c>
      <c r="BF1050" s="10">
        <v>14</v>
      </c>
      <c r="BG1050" s="10">
        <v>0.3</v>
      </c>
      <c r="BH1050" s="10"/>
      <c r="BI1050" s="10"/>
      <c r="BJ1050" s="10"/>
      <c r="BK1050" s="10"/>
      <c r="BL1050" s="10"/>
      <c r="BM1050" s="10"/>
      <c r="BN1050" s="10"/>
      <c r="BO1050" s="10"/>
      <c r="BP1050" s="10"/>
      <c r="BQ1050" s="10"/>
      <c r="BR1050" s="10"/>
      <c r="BS1050" s="10"/>
      <c r="BT1050" s="10"/>
      <c r="BU1050" s="10" t="s">
        <v>2192</v>
      </c>
      <c r="BV1050">
        <v>34.93</v>
      </c>
      <c r="BW1050">
        <v>3.2908965339999998</v>
      </c>
      <c r="BX1050">
        <v>12</v>
      </c>
      <c r="BY1050">
        <v>37.159999999999997</v>
      </c>
      <c r="BZ1050">
        <v>0.36482872700000002</v>
      </c>
      <c r="CA1050">
        <v>11</v>
      </c>
      <c r="CB1050" t="s">
        <v>113</v>
      </c>
      <c r="CC1050" t="s">
        <v>2193</v>
      </c>
    </row>
    <row r="1051" spans="1:81" x14ac:dyDescent="0.25">
      <c r="A1051" s="10" t="s">
        <v>2023</v>
      </c>
      <c r="B1051">
        <v>1050</v>
      </c>
      <c r="C1051" s="10">
        <v>109</v>
      </c>
      <c r="D1051" s="10">
        <v>104</v>
      </c>
      <c r="E1051" s="10">
        <v>233</v>
      </c>
      <c r="F1051" s="10">
        <v>250</v>
      </c>
      <c r="G1051" s="10">
        <v>576</v>
      </c>
      <c r="H1051" s="10">
        <v>918</v>
      </c>
      <c r="I1051" s="10" t="s">
        <v>2194</v>
      </c>
      <c r="J1051" s="10" t="s">
        <v>143</v>
      </c>
      <c r="K1051" s="10"/>
      <c r="L1051" s="10"/>
      <c r="M1051" s="10" t="s">
        <v>85</v>
      </c>
      <c r="N1051" s="10"/>
      <c r="O1051" s="10" t="s">
        <v>14</v>
      </c>
      <c r="P1051" s="10" t="s">
        <v>2195</v>
      </c>
      <c r="Q1051" s="10" t="s">
        <v>2196</v>
      </c>
      <c r="R1051" s="10">
        <v>2014</v>
      </c>
      <c r="S1051" s="10" t="s">
        <v>1672</v>
      </c>
      <c r="T1051" s="10"/>
      <c r="U1051" s="10" t="s">
        <v>2197</v>
      </c>
      <c r="V1051" s="10" t="s">
        <v>2198</v>
      </c>
      <c r="W1051" s="10" t="s">
        <v>91</v>
      </c>
      <c r="X1051" s="10" t="s">
        <v>508</v>
      </c>
      <c r="Y1051" s="10" t="s">
        <v>509</v>
      </c>
      <c r="Z1051" s="10" t="s">
        <v>510</v>
      </c>
      <c r="AA1051" s="10" t="s">
        <v>2199</v>
      </c>
      <c r="AB1051" s="10" t="s">
        <v>2200</v>
      </c>
      <c r="AC1051" s="10" t="s">
        <v>2201</v>
      </c>
      <c r="AD1051" s="10" t="s">
        <v>132</v>
      </c>
      <c r="AE1051" s="10" t="s">
        <v>514</v>
      </c>
      <c r="AF1051" s="10" t="s">
        <v>100</v>
      </c>
      <c r="AG1051" s="10" t="s">
        <v>261</v>
      </c>
      <c r="AH1051" s="10" t="s">
        <v>102</v>
      </c>
      <c r="AI1051" s="10" t="s">
        <v>134</v>
      </c>
      <c r="AJ1051" s="10" t="s">
        <v>135</v>
      </c>
      <c r="AK1051" s="10"/>
      <c r="AL1051" s="10"/>
      <c r="AM1051" s="10" t="s">
        <v>178</v>
      </c>
      <c r="AN1051" s="10" t="s">
        <v>106</v>
      </c>
      <c r="AO1051" s="10">
        <v>36.102544444400003</v>
      </c>
      <c r="AP1051" s="10">
        <v>108.9012638889</v>
      </c>
      <c r="AQ1051" s="10">
        <v>420</v>
      </c>
      <c r="AR1051" s="10"/>
      <c r="AS1051" s="10"/>
      <c r="AT1051" s="10"/>
      <c r="AU1051" s="10"/>
      <c r="AV1051" s="10"/>
      <c r="AW1051" s="10" t="s">
        <v>108</v>
      </c>
      <c r="AX1051" s="10"/>
      <c r="AY1051" s="10" t="s">
        <v>103</v>
      </c>
      <c r="AZ1051" s="10" t="s">
        <v>109</v>
      </c>
      <c r="BA1051" s="10" t="s">
        <v>142</v>
      </c>
      <c r="BB1051" s="10">
        <v>10</v>
      </c>
      <c r="BC1051" s="10">
        <v>15</v>
      </c>
      <c r="BD1051" s="10"/>
      <c r="BE1051" s="10" t="s">
        <v>139</v>
      </c>
      <c r="BF1051" s="10"/>
      <c r="BG1051" s="10"/>
      <c r="BH1051" s="10"/>
      <c r="BI1051" s="10"/>
      <c r="BJ1051" s="10"/>
      <c r="BK1051" s="10"/>
      <c r="BL1051" s="10">
        <v>70</v>
      </c>
      <c r="BM1051" s="10"/>
      <c r="BN1051" s="10"/>
      <c r="BO1051" s="10">
        <v>6.8</v>
      </c>
      <c r="BP1051" s="10">
        <v>14</v>
      </c>
      <c r="BQ1051" s="10"/>
      <c r="BR1051" s="10"/>
      <c r="BS1051" s="10" t="s">
        <v>844</v>
      </c>
      <c r="BT1051" s="10"/>
      <c r="BU1051" s="10" t="s">
        <v>2202</v>
      </c>
      <c r="BV1051">
        <v>32.9</v>
      </c>
      <c r="BW1051">
        <v>1.6</v>
      </c>
      <c r="BX1051">
        <v>30</v>
      </c>
      <c r="BY1051">
        <v>36.5</v>
      </c>
      <c r="BZ1051">
        <v>1</v>
      </c>
      <c r="CA1051">
        <v>30</v>
      </c>
      <c r="CB1051" t="s">
        <v>113</v>
      </c>
      <c r="CC1051" t="s">
        <v>2203</v>
      </c>
    </row>
    <row r="1052" spans="1:81" x14ac:dyDescent="0.25">
      <c r="A1052" s="10" t="s">
        <v>2023</v>
      </c>
      <c r="B1052">
        <v>1051</v>
      </c>
      <c r="C1052" s="10">
        <v>109</v>
      </c>
      <c r="D1052" s="10">
        <v>104</v>
      </c>
      <c r="E1052" s="10">
        <v>233</v>
      </c>
      <c r="F1052" s="10">
        <v>250</v>
      </c>
      <c r="G1052" s="10">
        <v>576</v>
      </c>
      <c r="H1052" s="10">
        <v>919</v>
      </c>
      <c r="I1052" s="10" t="s">
        <v>2194</v>
      </c>
      <c r="J1052" s="10" t="s">
        <v>143</v>
      </c>
      <c r="K1052" s="10"/>
      <c r="L1052" s="10"/>
      <c r="M1052" s="10" t="s">
        <v>85</v>
      </c>
      <c r="N1052" s="10"/>
      <c r="O1052" s="10" t="s">
        <v>14</v>
      </c>
      <c r="P1052" s="10" t="s">
        <v>2195</v>
      </c>
      <c r="Q1052" s="10" t="s">
        <v>2196</v>
      </c>
      <c r="R1052" s="10">
        <v>2014</v>
      </c>
      <c r="S1052" s="10" t="s">
        <v>1672</v>
      </c>
      <c r="T1052" s="10"/>
      <c r="U1052" s="10" t="s">
        <v>2197</v>
      </c>
      <c r="V1052" s="10" t="s">
        <v>2198</v>
      </c>
      <c r="W1052" s="10" t="s">
        <v>91</v>
      </c>
      <c r="X1052" s="10" t="s">
        <v>508</v>
      </c>
      <c r="Y1052" s="10" t="s">
        <v>509</v>
      </c>
      <c r="Z1052" s="10" t="s">
        <v>510</v>
      </c>
      <c r="AA1052" s="10" t="s">
        <v>2199</v>
      </c>
      <c r="AB1052" s="10" t="s">
        <v>2200</v>
      </c>
      <c r="AC1052" s="10" t="s">
        <v>2201</v>
      </c>
      <c r="AD1052" s="10" t="s">
        <v>132</v>
      </c>
      <c r="AE1052" s="10" t="s">
        <v>514</v>
      </c>
      <c r="AF1052" s="10" t="s">
        <v>100</v>
      </c>
      <c r="AG1052" s="10" t="s">
        <v>261</v>
      </c>
      <c r="AH1052" s="10" t="s">
        <v>102</v>
      </c>
      <c r="AI1052" s="10" t="s">
        <v>134</v>
      </c>
      <c r="AJ1052" s="10" t="s">
        <v>135</v>
      </c>
      <c r="AK1052" s="10"/>
      <c r="AL1052" s="10"/>
      <c r="AM1052" s="10" t="s">
        <v>178</v>
      </c>
      <c r="AN1052" s="10" t="s">
        <v>106</v>
      </c>
      <c r="AO1052" s="10">
        <v>36.102544444400003</v>
      </c>
      <c r="AP1052" s="10">
        <v>108.9012638889</v>
      </c>
      <c r="AQ1052" s="10">
        <v>420</v>
      </c>
      <c r="AR1052" s="10"/>
      <c r="AS1052" s="10"/>
      <c r="AT1052" s="10"/>
      <c r="AU1052" s="10"/>
      <c r="AV1052" s="10"/>
      <c r="AW1052" s="10" t="s">
        <v>108</v>
      </c>
      <c r="AX1052" s="10"/>
      <c r="AY1052" s="10" t="s">
        <v>103</v>
      </c>
      <c r="AZ1052" s="10" t="s">
        <v>109</v>
      </c>
      <c r="BA1052" s="10" t="s">
        <v>142</v>
      </c>
      <c r="BB1052" s="10">
        <v>15</v>
      </c>
      <c r="BC1052" s="10">
        <v>20</v>
      </c>
      <c r="BD1052" s="10"/>
      <c r="BE1052" s="10" t="s">
        <v>139</v>
      </c>
      <c r="BF1052" s="10"/>
      <c r="BG1052" s="10"/>
      <c r="BH1052" s="10"/>
      <c r="BI1052" s="10"/>
      <c r="BJ1052" s="10"/>
      <c r="BK1052" s="10"/>
      <c r="BL1052" s="10">
        <v>70</v>
      </c>
      <c r="BM1052" s="10"/>
      <c r="BN1052" s="10"/>
      <c r="BO1052" s="10">
        <v>6.8</v>
      </c>
      <c r="BP1052" s="10">
        <v>14</v>
      </c>
      <c r="BQ1052" s="10"/>
      <c r="BR1052" s="10"/>
      <c r="BS1052" s="10" t="s">
        <v>844</v>
      </c>
      <c r="BT1052" s="10"/>
      <c r="BU1052" s="10" t="s">
        <v>2202</v>
      </c>
      <c r="BV1052">
        <v>36.5</v>
      </c>
      <c r="BW1052">
        <v>1</v>
      </c>
      <c r="BX1052">
        <v>30</v>
      </c>
      <c r="BY1052">
        <v>37.9</v>
      </c>
      <c r="BZ1052">
        <v>0.9</v>
      </c>
      <c r="CA1052">
        <v>30</v>
      </c>
      <c r="CB1052" t="s">
        <v>113</v>
      </c>
      <c r="CC1052" t="s">
        <v>2203</v>
      </c>
    </row>
    <row r="1053" spans="1:81" x14ac:dyDescent="0.25">
      <c r="A1053" s="10" t="s">
        <v>2023</v>
      </c>
      <c r="B1053">
        <v>1052</v>
      </c>
      <c r="C1053" s="10">
        <v>109</v>
      </c>
      <c r="D1053" s="10">
        <v>104</v>
      </c>
      <c r="E1053" s="10">
        <v>233</v>
      </c>
      <c r="F1053" s="10">
        <v>250</v>
      </c>
      <c r="G1053" s="10">
        <v>576</v>
      </c>
      <c r="H1053" s="10">
        <v>920</v>
      </c>
      <c r="I1053" s="10" t="s">
        <v>2194</v>
      </c>
      <c r="J1053" s="10" t="s">
        <v>143</v>
      </c>
      <c r="K1053" s="10"/>
      <c r="L1053" s="10"/>
      <c r="M1053" s="10" t="s">
        <v>85</v>
      </c>
      <c r="N1053" s="10"/>
      <c r="O1053" s="10" t="s">
        <v>14</v>
      </c>
      <c r="P1053" s="10" t="s">
        <v>2195</v>
      </c>
      <c r="Q1053" s="10" t="s">
        <v>2196</v>
      </c>
      <c r="R1053" s="10">
        <v>2014</v>
      </c>
      <c r="S1053" s="10" t="s">
        <v>1672</v>
      </c>
      <c r="T1053" s="10"/>
      <c r="U1053" s="10" t="s">
        <v>2197</v>
      </c>
      <c r="V1053" s="10" t="s">
        <v>2198</v>
      </c>
      <c r="W1053" s="10" t="s">
        <v>91</v>
      </c>
      <c r="X1053" s="10" t="s">
        <v>508</v>
      </c>
      <c r="Y1053" s="10" t="s">
        <v>509</v>
      </c>
      <c r="Z1053" s="10" t="s">
        <v>510</v>
      </c>
      <c r="AA1053" s="10" t="s">
        <v>2199</v>
      </c>
      <c r="AB1053" s="10" t="s">
        <v>2200</v>
      </c>
      <c r="AC1053" s="10" t="s">
        <v>2201</v>
      </c>
      <c r="AD1053" s="10" t="s">
        <v>132</v>
      </c>
      <c r="AE1053" s="10" t="s">
        <v>514</v>
      </c>
      <c r="AF1053" s="10" t="s">
        <v>100</v>
      </c>
      <c r="AG1053" s="10" t="s">
        <v>261</v>
      </c>
      <c r="AH1053" s="10" t="s">
        <v>102</v>
      </c>
      <c r="AI1053" s="10" t="s">
        <v>134</v>
      </c>
      <c r="AJ1053" s="10" t="s">
        <v>135</v>
      </c>
      <c r="AK1053" s="10"/>
      <c r="AL1053" s="10"/>
      <c r="AM1053" s="10" t="s">
        <v>178</v>
      </c>
      <c r="AN1053" s="10" t="s">
        <v>106</v>
      </c>
      <c r="AO1053" s="10">
        <v>36.102544444400003</v>
      </c>
      <c r="AP1053" s="10">
        <v>108.9012638889</v>
      </c>
      <c r="AQ1053" s="10">
        <v>420</v>
      </c>
      <c r="AR1053" s="10"/>
      <c r="AS1053" s="10"/>
      <c r="AT1053" s="10"/>
      <c r="AU1053" s="10"/>
      <c r="AV1053" s="10"/>
      <c r="AW1053" s="10" t="s">
        <v>108</v>
      </c>
      <c r="AX1053" s="10"/>
      <c r="AY1053" s="10" t="s">
        <v>103</v>
      </c>
      <c r="AZ1053" s="10" t="s">
        <v>109</v>
      </c>
      <c r="BA1053" s="10" t="s">
        <v>142</v>
      </c>
      <c r="BB1053" s="10">
        <v>20</v>
      </c>
      <c r="BC1053" s="10">
        <v>25</v>
      </c>
      <c r="BD1053" s="10"/>
      <c r="BE1053" s="10" t="s">
        <v>139</v>
      </c>
      <c r="BF1053" s="10"/>
      <c r="BG1053" s="10"/>
      <c r="BH1053" s="10"/>
      <c r="BI1053" s="10"/>
      <c r="BJ1053" s="10"/>
      <c r="BK1053" s="10"/>
      <c r="BL1053" s="10">
        <v>70</v>
      </c>
      <c r="BM1053" s="10"/>
      <c r="BN1053" s="10"/>
      <c r="BO1053" s="10">
        <v>6.8</v>
      </c>
      <c r="BP1053" s="10">
        <v>14</v>
      </c>
      <c r="BQ1053" s="10"/>
      <c r="BR1053" s="10"/>
      <c r="BS1053" s="10" t="s">
        <v>844</v>
      </c>
      <c r="BT1053" s="10"/>
      <c r="BU1053" s="10" t="s">
        <v>2202</v>
      </c>
      <c r="BV1053">
        <v>37.9</v>
      </c>
      <c r="BW1053">
        <v>0.9</v>
      </c>
      <c r="BX1053">
        <v>30</v>
      </c>
      <c r="BY1053">
        <v>38.799999999999997</v>
      </c>
      <c r="BZ1053">
        <v>1.1000000000000001</v>
      </c>
      <c r="CA1053">
        <v>30</v>
      </c>
      <c r="CB1053" t="s">
        <v>113</v>
      </c>
      <c r="CC1053" t="s">
        <v>2203</v>
      </c>
    </row>
    <row r="1054" spans="1:81" x14ac:dyDescent="0.25">
      <c r="A1054" s="10" t="s">
        <v>2046</v>
      </c>
      <c r="B1054">
        <v>1053</v>
      </c>
      <c r="C1054" s="10">
        <v>111</v>
      </c>
      <c r="D1054" s="10">
        <v>26</v>
      </c>
      <c r="E1054" s="10">
        <v>234</v>
      </c>
      <c r="F1054" s="10">
        <v>251</v>
      </c>
      <c r="G1054" s="10">
        <v>577</v>
      </c>
      <c r="H1054" s="10">
        <v>921</v>
      </c>
      <c r="I1054" s="10"/>
      <c r="J1054" s="10" t="s">
        <v>197</v>
      </c>
      <c r="K1054" s="10"/>
      <c r="L1054" s="10"/>
      <c r="M1054" s="10" t="s">
        <v>85</v>
      </c>
      <c r="N1054" s="10"/>
      <c r="O1054" s="10" t="s">
        <v>14</v>
      </c>
      <c r="P1054" s="10" t="s">
        <v>2204</v>
      </c>
      <c r="Q1054" s="10" t="s">
        <v>2205</v>
      </c>
      <c r="R1054" s="10">
        <v>2020</v>
      </c>
      <c r="S1054" s="10" t="s">
        <v>2206</v>
      </c>
      <c r="T1054" s="10"/>
      <c r="U1054" s="10" t="s">
        <v>2207</v>
      </c>
      <c r="V1054" s="10" t="s">
        <v>2208</v>
      </c>
      <c r="W1054" s="10" t="s">
        <v>91</v>
      </c>
      <c r="X1054" s="10" t="s">
        <v>126</v>
      </c>
      <c r="Y1054" s="10" t="s">
        <v>190</v>
      </c>
      <c r="Z1054" s="10" t="s">
        <v>191</v>
      </c>
      <c r="AA1054" s="10" t="s">
        <v>192</v>
      </c>
      <c r="AB1054" s="10" t="s">
        <v>401</v>
      </c>
      <c r="AC1054" s="10" t="s">
        <v>402</v>
      </c>
      <c r="AD1054" s="10" t="s">
        <v>132</v>
      </c>
      <c r="AE1054" s="10" t="s">
        <v>133</v>
      </c>
      <c r="AF1054" s="10" t="s">
        <v>100</v>
      </c>
      <c r="AG1054" s="10" t="s">
        <v>261</v>
      </c>
      <c r="AH1054" s="10" t="s">
        <v>102</v>
      </c>
      <c r="AI1054" s="10" t="s">
        <v>134</v>
      </c>
      <c r="AJ1054" s="10" t="s">
        <v>135</v>
      </c>
      <c r="AK1054" s="10"/>
      <c r="AL1054" s="10"/>
      <c r="AM1054" s="10" t="s">
        <v>178</v>
      </c>
      <c r="AN1054" s="10" t="s">
        <v>106</v>
      </c>
      <c r="AO1054" s="10">
        <v>43.577777777800002</v>
      </c>
      <c r="AP1054" s="10">
        <v>-79.701750000000004</v>
      </c>
      <c r="AQ1054" s="10">
        <v>139</v>
      </c>
      <c r="AR1054" s="10" t="s">
        <v>179</v>
      </c>
      <c r="AS1054" s="10">
        <v>2016</v>
      </c>
      <c r="AT1054" s="10"/>
      <c r="AU1054" s="10">
        <v>1.94</v>
      </c>
      <c r="AV1054" s="10"/>
      <c r="AW1054" s="10" t="s">
        <v>108</v>
      </c>
      <c r="AX1054" s="10"/>
      <c r="AY1054" s="10" t="s">
        <v>103</v>
      </c>
      <c r="AZ1054" s="10" t="s">
        <v>109</v>
      </c>
      <c r="BA1054" s="10" t="s">
        <v>2142</v>
      </c>
      <c r="BB1054" s="10">
        <v>10</v>
      </c>
      <c r="BC1054" s="10">
        <v>13</v>
      </c>
      <c r="BD1054" s="10"/>
      <c r="BE1054" s="10" t="s">
        <v>111</v>
      </c>
      <c r="BF1054" s="10">
        <v>240</v>
      </c>
      <c r="BG1054" s="10">
        <v>0.2</v>
      </c>
      <c r="BH1054" s="10"/>
      <c r="BI1054" s="10"/>
      <c r="BJ1054" s="10"/>
      <c r="BK1054" s="10"/>
      <c r="BL1054" s="10"/>
      <c r="BM1054" s="10"/>
      <c r="BN1054" s="10"/>
      <c r="BO1054" s="10"/>
      <c r="BP1054" s="10">
        <v>12</v>
      </c>
      <c r="BQ1054" s="10"/>
      <c r="BR1054" s="10"/>
      <c r="BS1054" s="10" t="s">
        <v>2209</v>
      </c>
      <c r="BT1054" s="10"/>
      <c r="BU1054" s="10" t="s">
        <v>2210</v>
      </c>
      <c r="BV1054">
        <v>28.3</v>
      </c>
      <c r="BW1054">
        <v>0.52848841000000002</v>
      </c>
      <c r="BX1054">
        <v>57</v>
      </c>
      <c r="BY1054">
        <v>28.9</v>
      </c>
      <c r="BZ1054">
        <v>0.22847319299999999</v>
      </c>
      <c r="CA1054">
        <v>58</v>
      </c>
      <c r="CB1054" t="s">
        <v>113</v>
      </c>
      <c r="CC1054" t="s">
        <v>770</v>
      </c>
    </row>
    <row r="1055" spans="1:81" x14ac:dyDescent="0.25">
      <c r="A1055" s="10" t="s">
        <v>2046</v>
      </c>
      <c r="B1055">
        <v>1054</v>
      </c>
      <c r="C1055" s="10">
        <v>117</v>
      </c>
      <c r="D1055" s="10">
        <v>108</v>
      </c>
      <c r="E1055" s="10">
        <v>235</v>
      </c>
      <c r="F1055" s="10">
        <v>252</v>
      </c>
      <c r="G1055" s="10">
        <v>578</v>
      </c>
      <c r="H1055" s="10">
        <v>922</v>
      </c>
      <c r="I1055" s="10" t="s">
        <v>2194</v>
      </c>
      <c r="J1055" s="10" t="s">
        <v>691</v>
      </c>
      <c r="K1055" s="10"/>
      <c r="L1055" s="10"/>
      <c r="M1055" s="10" t="s">
        <v>85</v>
      </c>
      <c r="N1055" s="10"/>
      <c r="O1055" s="10" t="s">
        <v>14</v>
      </c>
      <c r="P1055" s="10" t="s">
        <v>2211</v>
      </c>
      <c r="Q1055" s="10" t="s">
        <v>2212</v>
      </c>
      <c r="R1055" s="10">
        <v>2014</v>
      </c>
      <c r="S1055" s="10" t="s">
        <v>1952</v>
      </c>
      <c r="T1055" s="10"/>
      <c r="U1055" s="10" t="s">
        <v>2213</v>
      </c>
      <c r="V1055" s="10" t="s">
        <v>2214</v>
      </c>
      <c r="W1055" s="10" t="s">
        <v>91</v>
      </c>
      <c r="X1055" s="10" t="s">
        <v>126</v>
      </c>
      <c r="Y1055" s="10" t="s">
        <v>292</v>
      </c>
      <c r="Z1055" s="10" t="s">
        <v>293</v>
      </c>
      <c r="AA1055" s="10" t="s">
        <v>294</v>
      </c>
      <c r="AB1055" s="10" t="s">
        <v>2215</v>
      </c>
      <c r="AC1055" s="10" t="s">
        <v>2216</v>
      </c>
      <c r="AD1055" s="10" t="s">
        <v>132</v>
      </c>
      <c r="AE1055" s="10" t="s">
        <v>133</v>
      </c>
      <c r="AF1055" s="10" t="s">
        <v>100</v>
      </c>
      <c r="AG1055" s="10" t="s">
        <v>102</v>
      </c>
      <c r="AH1055" s="10" t="s">
        <v>102</v>
      </c>
      <c r="AI1055" s="10" t="s">
        <v>134</v>
      </c>
      <c r="AJ1055" s="10" t="s">
        <v>2056</v>
      </c>
      <c r="AK1055" s="10"/>
      <c r="AL1055" s="10"/>
      <c r="AM1055" s="10" t="s">
        <v>136</v>
      </c>
      <c r="AN1055" s="10" t="s">
        <v>1184</v>
      </c>
      <c r="AO1055" s="10"/>
      <c r="AP1055" s="10"/>
      <c r="AQ1055" s="10"/>
      <c r="AR1055" s="10"/>
      <c r="AS1055" s="10"/>
      <c r="AT1055" s="10"/>
      <c r="AU1055" s="10"/>
      <c r="AV1055" s="10"/>
      <c r="AW1055" s="10" t="s">
        <v>108</v>
      </c>
      <c r="AX1055" s="10"/>
      <c r="AY1055" s="10" t="s">
        <v>2057</v>
      </c>
      <c r="AZ1055" s="10" t="s">
        <v>109</v>
      </c>
      <c r="BA1055" s="10" t="s">
        <v>2142</v>
      </c>
      <c r="BB1055" s="10">
        <v>10</v>
      </c>
      <c r="BC1055" s="10">
        <v>15</v>
      </c>
      <c r="BD1055" s="10"/>
      <c r="BE1055" s="10" t="s">
        <v>139</v>
      </c>
      <c r="BF1055" s="10">
        <v>17.5</v>
      </c>
      <c r="BG1055" s="10">
        <v>0.1</v>
      </c>
      <c r="BH1055" s="10"/>
      <c r="BI1055" s="10"/>
      <c r="BJ1055" s="10"/>
      <c r="BK1055" s="10"/>
      <c r="BL1055" s="10"/>
      <c r="BM1055" s="10"/>
      <c r="BN1055" s="10"/>
      <c r="BO1055" s="10"/>
      <c r="BP1055" s="10">
        <v>12</v>
      </c>
      <c r="BQ1055" s="10"/>
      <c r="BR1055" s="10" t="s">
        <v>2120</v>
      </c>
      <c r="BS1055" s="10"/>
      <c r="BT1055" s="10"/>
      <c r="BU1055" s="10" t="s">
        <v>2217</v>
      </c>
      <c r="BV1055">
        <v>27.6</v>
      </c>
      <c r="BW1055">
        <v>0.35</v>
      </c>
      <c r="BX1055">
        <v>8</v>
      </c>
      <c r="BY1055">
        <v>31.5</v>
      </c>
      <c r="BZ1055">
        <v>0.91</v>
      </c>
      <c r="CA1055">
        <v>8</v>
      </c>
      <c r="CB1055" t="s">
        <v>113</v>
      </c>
      <c r="CC1055" t="s">
        <v>1814</v>
      </c>
    </row>
    <row r="1056" spans="1:81" x14ac:dyDescent="0.25">
      <c r="A1056" s="10" t="s">
        <v>2046</v>
      </c>
      <c r="B1056">
        <v>1055</v>
      </c>
      <c r="C1056" s="10">
        <v>117</v>
      </c>
      <c r="D1056" s="10">
        <v>108</v>
      </c>
      <c r="E1056" s="10">
        <v>235</v>
      </c>
      <c r="F1056" s="10">
        <v>252</v>
      </c>
      <c r="G1056" s="10">
        <v>578</v>
      </c>
      <c r="H1056" s="10">
        <v>923</v>
      </c>
      <c r="I1056" s="10" t="s">
        <v>2194</v>
      </c>
      <c r="J1056" s="10" t="s">
        <v>691</v>
      </c>
      <c r="K1056" s="10"/>
      <c r="L1056" s="10"/>
      <c r="M1056" s="10" t="s">
        <v>85</v>
      </c>
      <c r="N1056" s="10"/>
      <c r="O1056" s="10" t="s">
        <v>14</v>
      </c>
      <c r="P1056" s="10" t="s">
        <v>2211</v>
      </c>
      <c r="Q1056" s="10" t="s">
        <v>2212</v>
      </c>
      <c r="R1056" s="10">
        <v>2014</v>
      </c>
      <c r="S1056" s="10" t="s">
        <v>1952</v>
      </c>
      <c r="T1056" s="10"/>
      <c r="U1056" s="10" t="s">
        <v>2213</v>
      </c>
      <c r="V1056" s="10" t="s">
        <v>2214</v>
      </c>
      <c r="W1056" s="10" t="s">
        <v>91</v>
      </c>
      <c r="X1056" s="10" t="s">
        <v>126</v>
      </c>
      <c r="Y1056" s="10" t="s">
        <v>292</v>
      </c>
      <c r="Z1056" s="10" t="s">
        <v>293</v>
      </c>
      <c r="AA1056" s="10" t="s">
        <v>294</v>
      </c>
      <c r="AB1056" s="10" t="s">
        <v>2215</v>
      </c>
      <c r="AC1056" s="10" t="s">
        <v>2216</v>
      </c>
      <c r="AD1056" s="10" t="s">
        <v>132</v>
      </c>
      <c r="AE1056" s="10" t="s">
        <v>133</v>
      </c>
      <c r="AF1056" s="10" t="s">
        <v>100</v>
      </c>
      <c r="AG1056" s="10" t="s">
        <v>102</v>
      </c>
      <c r="AH1056" s="10" t="s">
        <v>102</v>
      </c>
      <c r="AI1056" s="10" t="s">
        <v>134</v>
      </c>
      <c r="AJ1056" s="10" t="s">
        <v>2056</v>
      </c>
      <c r="AK1056" s="10"/>
      <c r="AL1056" s="10"/>
      <c r="AM1056" s="10" t="s">
        <v>136</v>
      </c>
      <c r="AN1056" s="10" t="s">
        <v>1184</v>
      </c>
      <c r="AO1056" s="10"/>
      <c r="AP1056" s="10"/>
      <c r="AQ1056" s="10"/>
      <c r="AR1056" s="10"/>
      <c r="AS1056" s="10"/>
      <c r="AT1056" s="10"/>
      <c r="AU1056" s="10"/>
      <c r="AV1056" s="10"/>
      <c r="AW1056" s="10" t="s">
        <v>108</v>
      </c>
      <c r="AX1056" s="10"/>
      <c r="AY1056" s="10" t="s">
        <v>2057</v>
      </c>
      <c r="AZ1056" s="10" t="s">
        <v>109</v>
      </c>
      <c r="BA1056" s="10" t="s">
        <v>2142</v>
      </c>
      <c r="BB1056" s="10">
        <v>15</v>
      </c>
      <c r="BC1056" s="10">
        <v>20</v>
      </c>
      <c r="BD1056" s="10"/>
      <c r="BE1056" s="10" t="s">
        <v>139</v>
      </c>
      <c r="BF1056" s="10">
        <v>17.5</v>
      </c>
      <c r="BG1056" s="10">
        <v>0.1</v>
      </c>
      <c r="BH1056" s="10"/>
      <c r="BI1056" s="10"/>
      <c r="BJ1056" s="10"/>
      <c r="BK1056" s="10"/>
      <c r="BL1056" s="10"/>
      <c r="BM1056" s="10"/>
      <c r="BN1056" s="10"/>
      <c r="BO1056" s="10"/>
      <c r="BP1056" s="10">
        <v>12</v>
      </c>
      <c r="BQ1056" s="10"/>
      <c r="BR1056" s="10" t="s">
        <v>2120</v>
      </c>
      <c r="BS1056" s="10"/>
      <c r="BT1056" s="10"/>
      <c r="BU1056" s="10" t="s">
        <v>2217</v>
      </c>
      <c r="BV1056">
        <v>31.5</v>
      </c>
      <c r="BW1056">
        <v>0.91</v>
      </c>
      <c r="BX1056">
        <v>8</v>
      </c>
      <c r="BY1056">
        <v>32.799999999999997</v>
      </c>
      <c r="BZ1056">
        <v>1.17</v>
      </c>
      <c r="CA1056">
        <v>8</v>
      </c>
      <c r="CB1056" t="s">
        <v>113</v>
      </c>
      <c r="CC1056" t="s">
        <v>1814</v>
      </c>
    </row>
    <row r="1057" spans="1:81" x14ac:dyDescent="0.25">
      <c r="A1057" s="10" t="s">
        <v>2046</v>
      </c>
      <c r="B1057">
        <v>1056</v>
      </c>
      <c r="C1057" s="10">
        <v>119</v>
      </c>
      <c r="D1057" s="10">
        <v>111</v>
      </c>
      <c r="E1057" s="10">
        <v>236</v>
      </c>
      <c r="F1057" s="10">
        <v>253</v>
      </c>
      <c r="G1057" s="10">
        <v>579</v>
      </c>
      <c r="H1057" s="10">
        <v>924</v>
      </c>
      <c r="I1057" s="10" t="s">
        <v>2218</v>
      </c>
      <c r="J1057" s="10" t="s">
        <v>691</v>
      </c>
      <c r="K1057" s="10"/>
      <c r="L1057" s="10"/>
      <c r="M1057" s="10" t="s">
        <v>85</v>
      </c>
      <c r="N1057" s="10"/>
      <c r="O1057" s="10" t="s">
        <v>14</v>
      </c>
      <c r="P1057" s="10" t="s">
        <v>2219</v>
      </c>
      <c r="Q1057" s="10" t="s">
        <v>2220</v>
      </c>
      <c r="R1057" s="10">
        <v>2019</v>
      </c>
      <c r="S1057" s="10" t="s">
        <v>2221</v>
      </c>
      <c r="T1057" s="10"/>
      <c r="U1057" s="10" t="s">
        <v>2222</v>
      </c>
      <c r="V1057" s="10" t="s">
        <v>2223</v>
      </c>
      <c r="W1057" s="10" t="s">
        <v>91</v>
      </c>
      <c r="X1057" s="10" t="s">
        <v>126</v>
      </c>
      <c r="Y1057" s="10" t="s">
        <v>127</v>
      </c>
      <c r="Z1057" s="10" t="s">
        <v>128</v>
      </c>
      <c r="AA1057" s="10" t="s">
        <v>2224</v>
      </c>
      <c r="AB1057" s="10" t="s">
        <v>2225</v>
      </c>
      <c r="AC1057" s="10" t="s">
        <v>2226</v>
      </c>
      <c r="AD1057" s="10" t="s">
        <v>132</v>
      </c>
      <c r="AE1057" s="10" t="s">
        <v>133</v>
      </c>
      <c r="AF1057" s="10" t="s">
        <v>100</v>
      </c>
      <c r="AG1057" s="10" t="s">
        <v>102</v>
      </c>
      <c r="AH1057" s="10" t="s">
        <v>102</v>
      </c>
      <c r="AI1057" s="10" t="s">
        <v>134</v>
      </c>
      <c r="AJ1057" s="10" t="s">
        <v>2056</v>
      </c>
      <c r="AK1057" s="10"/>
      <c r="AL1057" s="10"/>
      <c r="AM1057" s="10" t="s">
        <v>136</v>
      </c>
      <c r="AN1057" s="10" t="s">
        <v>700</v>
      </c>
      <c r="AO1057" s="10"/>
      <c r="AP1057" s="10"/>
      <c r="AQ1057" s="10"/>
      <c r="AR1057" s="10"/>
      <c r="AS1057" s="10"/>
      <c r="AT1057" s="10"/>
      <c r="AU1057" s="10">
        <f>(6.2+7.5)/2</f>
        <v>6.85</v>
      </c>
      <c r="AV1057" s="10"/>
      <c r="AW1057" s="10" t="s">
        <v>108</v>
      </c>
      <c r="AX1057" s="10">
        <v>15</v>
      </c>
      <c r="AY1057" s="10" t="s">
        <v>134</v>
      </c>
      <c r="AZ1057" s="10" t="s">
        <v>109</v>
      </c>
      <c r="BA1057" s="10" t="s">
        <v>2142</v>
      </c>
      <c r="BB1057" s="10">
        <v>10</v>
      </c>
      <c r="BC1057" s="10">
        <v>15</v>
      </c>
      <c r="BD1057" s="10"/>
      <c r="BE1057" s="10" t="s">
        <v>139</v>
      </c>
      <c r="BF1057" s="10">
        <v>30</v>
      </c>
      <c r="BG1057" s="10">
        <f>1/30</f>
        <v>3.3333333333333333E-2</v>
      </c>
      <c r="BH1057" s="10"/>
      <c r="BI1057" s="10"/>
      <c r="BJ1057" s="10"/>
      <c r="BK1057" s="10"/>
      <c r="BL1057" s="10"/>
      <c r="BM1057" s="10"/>
      <c r="BN1057" s="10"/>
      <c r="BO1057" s="10"/>
      <c r="BP1057" s="10">
        <v>12</v>
      </c>
      <c r="BQ1057" s="10"/>
      <c r="BR1057" s="10" t="s">
        <v>2120</v>
      </c>
      <c r="BS1057" s="10" t="s">
        <v>515</v>
      </c>
      <c r="BT1057" s="10"/>
      <c r="BU1057" s="10" t="s">
        <v>2227</v>
      </c>
      <c r="BV1057">
        <v>30.98</v>
      </c>
      <c r="BW1057">
        <v>0.46</v>
      </c>
      <c r="BX1057">
        <v>30</v>
      </c>
      <c r="BY1057">
        <v>31.72</v>
      </c>
      <c r="BZ1057">
        <v>0.38</v>
      </c>
      <c r="CA1057">
        <v>30</v>
      </c>
      <c r="CB1057" t="s">
        <v>113</v>
      </c>
      <c r="CC1057" t="s">
        <v>1814</v>
      </c>
    </row>
    <row r="1058" spans="1:81" x14ac:dyDescent="0.25">
      <c r="A1058" s="10" t="s">
        <v>2046</v>
      </c>
      <c r="B1058">
        <v>1057</v>
      </c>
      <c r="C1058" s="10">
        <v>119</v>
      </c>
      <c r="D1058" s="10">
        <v>111</v>
      </c>
      <c r="E1058" s="10">
        <v>236</v>
      </c>
      <c r="F1058" s="10">
        <v>253</v>
      </c>
      <c r="G1058" s="10">
        <v>579</v>
      </c>
      <c r="H1058" s="10">
        <v>925</v>
      </c>
      <c r="I1058" s="10" t="s">
        <v>2218</v>
      </c>
      <c r="J1058" s="10" t="s">
        <v>691</v>
      </c>
      <c r="K1058" s="10"/>
      <c r="L1058" s="10"/>
      <c r="M1058" s="10" t="s">
        <v>85</v>
      </c>
      <c r="N1058" s="10"/>
      <c r="O1058" s="10" t="s">
        <v>14</v>
      </c>
      <c r="P1058" s="10" t="s">
        <v>2219</v>
      </c>
      <c r="Q1058" s="10" t="s">
        <v>2220</v>
      </c>
      <c r="R1058" s="10">
        <v>2019</v>
      </c>
      <c r="S1058" s="10" t="s">
        <v>2221</v>
      </c>
      <c r="T1058" s="10"/>
      <c r="U1058" s="10" t="s">
        <v>2222</v>
      </c>
      <c r="V1058" s="10" t="s">
        <v>2223</v>
      </c>
      <c r="W1058" s="10" t="s">
        <v>91</v>
      </c>
      <c r="X1058" s="10" t="s">
        <v>126</v>
      </c>
      <c r="Y1058" s="10" t="s">
        <v>127</v>
      </c>
      <c r="Z1058" s="10" t="s">
        <v>128</v>
      </c>
      <c r="AA1058" s="10" t="s">
        <v>2224</v>
      </c>
      <c r="AB1058" s="10" t="s">
        <v>2225</v>
      </c>
      <c r="AC1058" s="10" t="s">
        <v>2226</v>
      </c>
      <c r="AD1058" s="10" t="s">
        <v>132</v>
      </c>
      <c r="AE1058" s="10" t="s">
        <v>133</v>
      </c>
      <c r="AF1058" s="10" t="s">
        <v>100</v>
      </c>
      <c r="AG1058" s="10" t="s">
        <v>102</v>
      </c>
      <c r="AH1058" s="10" t="s">
        <v>102</v>
      </c>
      <c r="AI1058" s="10" t="s">
        <v>134</v>
      </c>
      <c r="AJ1058" s="10" t="s">
        <v>2056</v>
      </c>
      <c r="AK1058" s="10"/>
      <c r="AL1058" s="10"/>
      <c r="AM1058" s="10" t="s">
        <v>136</v>
      </c>
      <c r="AN1058" s="10" t="s">
        <v>700</v>
      </c>
      <c r="AO1058" s="10"/>
      <c r="AP1058" s="10"/>
      <c r="AQ1058" s="10"/>
      <c r="AR1058" s="10"/>
      <c r="AS1058" s="10"/>
      <c r="AT1058" s="10"/>
      <c r="AU1058" s="10">
        <f>(7.5+6.2)/2</f>
        <v>6.85</v>
      </c>
      <c r="AV1058" s="10"/>
      <c r="AW1058" s="10" t="s">
        <v>108</v>
      </c>
      <c r="AX1058" s="10">
        <v>15</v>
      </c>
      <c r="AY1058" s="10" t="s">
        <v>134</v>
      </c>
      <c r="AZ1058" s="10" t="s">
        <v>109</v>
      </c>
      <c r="BA1058" s="10" t="s">
        <v>2142</v>
      </c>
      <c r="BB1058" s="10">
        <v>15</v>
      </c>
      <c r="BC1058" s="10">
        <v>20</v>
      </c>
      <c r="BD1058" s="10"/>
      <c r="BE1058" s="10" t="s">
        <v>139</v>
      </c>
      <c r="BF1058" s="10">
        <v>30</v>
      </c>
      <c r="BG1058" s="10">
        <f>1/30</f>
        <v>3.3333333333333333E-2</v>
      </c>
      <c r="BH1058" s="10"/>
      <c r="BI1058" s="10"/>
      <c r="BJ1058" s="10"/>
      <c r="BK1058" s="10"/>
      <c r="BL1058" s="10"/>
      <c r="BM1058" s="10"/>
      <c r="BN1058" s="10"/>
      <c r="BO1058" s="10"/>
      <c r="BP1058" s="10">
        <v>12</v>
      </c>
      <c r="BQ1058" s="10"/>
      <c r="BR1058" s="10" t="s">
        <v>2120</v>
      </c>
      <c r="BS1058" s="10" t="s">
        <v>515</v>
      </c>
      <c r="BT1058" s="10"/>
      <c r="BU1058" s="10" t="s">
        <v>2227</v>
      </c>
      <c r="BV1058">
        <v>31.72</v>
      </c>
      <c r="BW1058">
        <v>0.38</v>
      </c>
      <c r="BX1058">
        <v>30</v>
      </c>
      <c r="BY1058">
        <v>32.01</v>
      </c>
      <c r="BZ1058">
        <v>0.59</v>
      </c>
      <c r="CA1058">
        <v>30</v>
      </c>
      <c r="CB1058" t="s">
        <v>113</v>
      </c>
      <c r="CC1058" t="s">
        <v>1814</v>
      </c>
    </row>
    <row r="1059" spans="1:81" x14ac:dyDescent="0.25">
      <c r="A1059" s="10" t="s">
        <v>2023</v>
      </c>
      <c r="B1059">
        <v>1058</v>
      </c>
      <c r="C1059" s="10">
        <v>119</v>
      </c>
      <c r="D1059" s="10">
        <v>111</v>
      </c>
      <c r="E1059" s="10">
        <v>236</v>
      </c>
      <c r="F1059" s="10">
        <v>253</v>
      </c>
      <c r="G1059" s="10">
        <v>580</v>
      </c>
      <c r="H1059" s="10">
        <v>924</v>
      </c>
      <c r="I1059" s="10" t="s">
        <v>2218</v>
      </c>
      <c r="J1059" s="10" t="s">
        <v>691</v>
      </c>
      <c r="K1059" s="10"/>
      <c r="L1059" s="10"/>
      <c r="M1059" s="10" t="s">
        <v>85</v>
      </c>
      <c r="N1059" s="10"/>
      <c r="O1059" s="10" t="s">
        <v>14</v>
      </c>
      <c r="P1059" s="10" t="s">
        <v>2219</v>
      </c>
      <c r="Q1059" s="10" t="s">
        <v>2220</v>
      </c>
      <c r="R1059" s="10">
        <v>2019</v>
      </c>
      <c r="S1059" s="10" t="s">
        <v>2221</v>
      </c>
      <c r="T1059" s="10"/>
      <c r="U1059" s="10" t="s">
        <v>2222</v>
      </c>
      <c r="V1059" s="10" t="s">
        <v>2223</v>
      </c>
      <c r="W1059" s="10" t="s">
        <v>91</v>
      </c>
      <c r="X1059" s="10" t="s">
        <v>126</v>
      </c>
      <c r="Y1059" s="10" t="s">
        <v>127</v>
      </c>
      <c r="Z1059" s="10" t="s">
        <v>128</v>
      </c>
      <c r="AA1059" s="10" t="s">
        <v>2224</v>
      </c>
      <c r="AB1059" s="10" t="s">
        <v>2225</v>
      </c>
      <c r="AC1059" s="10" t="s">
        <v>2226</v>
      </c>
      <c r="AD1059" s="10" t="s">
        <v>132</v>
      </c>
      <c r="AE1059" s="10" t="s">
        <v>133</v>
      </c>
      <c r="AF1059" s="10" t="s">
        <v>100</v>
      </c>
      <c r="AG1059" s="10" t="s">
        <v>102</v>
      </c>
      <c r="AH1059" s="10" t="s">
        <v>102</v>
      </c>
      <c r="AI1059" s="10" t="s">
        <v>134</v>
      </c>
      <c r="AJ1059" s="10" t="s">
        <v>2056</v>
      </c>
      <c r="AK1059" s="10"/>
      <c r="AL1059" s="10"/>
      <c r="AM1059" s="10" t="s">
        <v>136</v>
      </c>
      <c r="AN1059" s="10" t="s">
        <v>700</v>
      </c>
      <c r="AO1059" s="10"/>
      <c r="AP1059" s="10"/>
      <c r="AQ1059" s="10"/>
      <c r="AR1059" s="10"/>
      <c r="AS1059" s="10"/>
      <c r="AT1059" s="10"/>
      <c r="AU1059" s="10">
        <f>(6.2+7.5)/2</f>
        <v>6.85</v>
      </c>
      <c r="AV1059" s="10"/>
      <c r="AW1059" s="10" t="s">
        <v>108</v>
      </c>
      <c r="AX1059" s="10">
        <v>15</v>
      </c>
      <c r="AY1059" s="10" t="s">
        <v>134</v>
      </c>
      <c r="AZ1059" s="10" t="s">
        <v>109</v>
      </c>
      <c r="BA1059" s="10" t="s">
        <v>142</v>
      </c>
      <c r="BB1059" s="10">
        <v>10</v>
      </c>
      <c r="BC1059" s="10">
        <v>15</v>
      </c>
      <c r="BD1059" s="10"/>
      <c r="BE1059" s="10" t="s">
        <v>139</v>
      </c>
      <c r="BF1059" s="10">
        <v>30</v>
      </c>
      <c r="BG1059" s="10">
        <f>1/30</f>
        <v>3.3333333333333333E-2</v>
      </c>
      <c r="BH1059" s="10"/>
      <c r="BI1059" s="10"/>
      <c r="BJ1059" s="10"/>
      <c r="BK1059" s="10"/>
      <c r="BL1059" s="10"/>
      <c r="BM1059" s="10"/>
      <c r="BN1059" s="10"/>
      <c r="BO1059" s="10"/>
      <c r="BP1059" s="10">
        <v>12</v>
      </c>
      <c r="BQ1059" s="10"/>
      <c r="BR1059" s="10" t="s">
        <v>2120</v>
      </c>
      <c r="BS1059" s="10" t="s">
        <v>515</v>
      </c>
      <c r="BT1059" s="10"/>
      <c r="BU1059" s="10" t="s">
        <v>2227</v>
      </c>
      <c r="BV1059">
        <v>31.76</v>
      </c>
      <c r="BW1059">
        <v>0.47</v>
      </c>
      <c r="BX1059">
        <v>30</v>
      </c>
      <c r="BY1059">
        <v>32.14</v>
      </c>
      <c r="BZ1059">
        <v>0.37</v>
      </c>
      <c r="CA1059">
        <v>30</v>
      </c>
      <c r="CB1059" t="s">
        <v>113</v>
      </c>
      <c r="CC1059" t="s">
        <v>1814</v>
      </c>
    </row>
    <row r="1060" spans="1:81" x14ac:dyDescent="0.25">
      <c r="A1060" s="10" t="s">
        <v>2023</v>
      </c>
      <c r="B1060">
        <v>1059</v>
      </c>
      <c r="C1060" s="10">
        <v>119</v>
      </c>
      <c r="D1060" s="10">
        <v>111</v>
      </c>
      <c r="E1060" s="10">
        <v>236</v>
      </c>
      <c r="F1060" s="10">
        <v>253</v>
      </c>
      <c r="G1060" s="10">
        <v>580</v>
      </c>
      <c r="H1060" s="10">
        <v>925</v>
      </c>
      <c r="I1060" s="10" t="s">
        <v>2218</v>
      </c>
      <c r="J1060" s="10" t="s">
        <v>691</v>
      </c>
      <c r="K1060" s="10"/>
      <c r="L1060" s="10"/>
      <c r="M1060" s="10" t="s">
        <v>85</v>
      </c>
      <c r="N1060" s="10"/>
      <c r="O1060" s="10" t="s">
        <v>14</v>
      </c>
      <c r="P1060" s="10" t="s">
        <v>2219</v>
      </c>
      <c r="Q1060" s="10" t="s">
        <v>2220</v>
      </c>
      <c r="R1060" s="10">
        <v>2019</v>
      </c>
      <c r="S1060" s="10" t="s">
        <v>2221</v>
      </c>
      <c r="T1060" s="10"/>
      <c r="U1060" s="10" t="s">
        <v>2222</v>
      </c>
      <c r="V1060" s="10" t="s">
        <v>2223</v>
      </c>
      <c r="W1060" s="10" t="s">
        <v>91</v>
      </c>
      <c r="X1060" s="10" t="s">
        <v>126</v>
      </c>
      <c r="Y1060" s="10" t="s">
        <v>127</v>
      </c>
      <c r="Z1060" s="10" t="s">
        <v>128</v>
      </c>
      <c r="AA1060" s="10" t="s">
        <v>2224</v>
      </c>
      <c r="AB1060" s="10" t="s">
        <v>2225</v>
      </c>
      <c r="AC1060" s="10" t="s">
        <v>2226</v>
      </c>
      <c r="AD1060" s="10" t="s">
        <v>132</v>
      </c>
      <c r="AE1060" s="10" t="s">
        <v>133</v>
      </c>
      <c r="AF1060" s="10" t="s">
        <v>100</v>
      </c>
      <c r="AG1060" s="10" t="s">
        <v>102</v>
      </c>
      <c r="AH1060" s="10" t="s">
        <v>102</v>
      </c>
      <c r="AI1060" s="10" t="s">
        <v>134</v>
      </c>
      <c r="AJ1060" s="10" t="s">
        <v>2056</v>
      </c>
      <c r="AK1060" s="10"/>
      <c r="AL1060" s="10"/>
      <c r="AM1060" s="10" t="s">
        <v>136</v>
      </c>
      <c r="AN1060" s="10" t="s">
        <v>700</v>
      </c>
      <c r="AO1060" s="10"/>
      <c r="AP1060" s="10"/>
      <c r="AQ1060" s="10"/>
      <c r="AR1060" s="10"/>
      <c r="AS1060" s="10"/>
      <c r="AT1060" s="10"/>
      <c r="AU1060" s="10">
        <f>(7.5+6.2)/2</f>
        <v>6.85</v>
      </c>
      <c r="AV1060" s="10"/>
      <c r="AW1060" s="10" t="s">
        <v>108</v>
      </c>
      <c r="AX1060" s="10">
        <v>15</v>
      </c>
      <c r="AY1060" s="10" t="s">
        <v>134</v>
      </c>
      <c r="AZ1060" s="10" t="s">
        <v>109</v>
      </c>
      <c r="BA1060" s="10" t="s">
        <v>142</v>
      </c>
      <c r="BB1060" s="10">
        <v>15</v>
      </c>
      <c r="BC1060" s="10">
        <v>20</v>
      </c>
      <c r="BD1060" s="10"/>
      <c r="BE1060" s="10" t="s">
        <v>139</v>
      </c>
      <c r="BF1060" s="10">
        <v>30</v>
      </c>
      <c r="BG1060" s="10">
        <f>1/30</f>
        <v>3.3333333333333333E-2</v>
      </c>
      <c r="BH1060" s="10"/>
      <c r="BI1060" s="10"/>
      <c r="BJ1060" s="10"/>
      <c r="BK1060" s="10"/>
      <c r="BL1060" s="10"/>
      <c r="BM1060" s="10"/>
      <c r="BN1060" s="10"/>
      <c r="BO1060" s="10"/>
      <c r="BP1060" s="10">
        <v>12</v>
      </c>
      <c r="BQ1060" s="10"/>
      <c r="BR1060" s="10" t="s">
        <v>2120</v>
      </c>
      <c r="BS1060" s="10" t="s">
        <v>515</v>
      </c>
      <c r="BT1060" s="10"/>
      <c r="BU1060" s="10" t="s">
        <v>2227</v>
      </c>
      <c r="BV1060">
        <v>32.14</v>
      </c>
      <c r="BW1060">
        <v>0.37</v>
      </c>
      <c r="BX1060">
        <v>30</v>
      </c>
      <c r="BY1060">
        <v>32.31</v>
      </c>
      <c r="BZ1060">
        <v>0.31</v>
      </c>
      <c r="CA1060">
        <v>30</v>
      </c>
      <c r="CB1060" t="s">
        <v>113</v>
      </c>
      <c r="CC1060" t="s">
        <v>1814</v>
      </c>
    </row>
    <row r="1061" spans="1:81" x14ac:dyDescent="0.25">
      <c r="A1061" s="10" t="s">
        <v>2046</v>
      </c>
      <c r="B1061">
        <v>1060</v>
      </c>
      <c r="C1061" s="10">
        <v>120</v>
      </c>
      <c r="D1061" s="10">
        <v>108</v>
      </c>
      <c r="E1061" s="10">
        <v>237</v>
      </c>
      <c r="F1061" s="10">
        <v>254</v>
      </c>
      <c r="G1061" s="10">
        <v>581</v>
      </c>
      <c r="H1061" s="10">
        <v>926</v>
      </c>
      <c r="I1061" s="10" t="s">
        <v>2218</v>
      </c>
      <c r="J1061" s="10" t="s">
        <v>197</v>
      </c>
      <c r="K1061" s="10"/>
      <c r="L1061" s="10"/>
      <c r="M1061" s="10" t="s">
        <v>85</v>
      </c>
      <c r="N1061" s="10"/>
      <c r="O1061" s="10" t="s">
        <v>14</v>
      </c>
      <c r="P1061" s="10" t="s">
        <v>2228</v>
      </c>
      <c r="Q1061" s="10" t="s">
        <v>2229</v>
      </c>
      <c r="R1061" s="10">
        <v>2008</v>
      </c>
      <c r="S1061" s="10" t="s">
        <v>188</v>
      </c>
      <c r="T1061" s="10"/>
      <c r="U1061" s="10" t="s">
        <v>2230</v>
      </c>
      <c r="V1061" s="10" t="s">
        <v>2231</v>
      </c>
      <c r="W1061" s="10" t="s">
        <v>91</v>
      </c>
      <c r="X1061" s="10" t="s">
        <v>126</v>
      </c>
      <c r="Y1061" s="10" t="s">
        <v>292</v>
      </c>
      <c r="Z1061" s="10" t="s">
        <v>293</v>
      </c>
      <c r="AA1061" s="10" t="s">
        <v>294</v>
      </c>
      <c r="AB1061" s="10" t="s">
        <v>2215</v>
      </c>
      <c r="AC1061" s="10" t="s">
        <v>2216</v>
      </c>
      <c r="AD1061" s="10" t="s">
        <v>132</v>
      </c>
      <c r="AE1061" s="10" t="s">
        <v>133</v>
      </c>
      <c r="AF1061" s="10" t="s">
        <v>100</v>
      </c>
      <c r="AG1061" s="10" t="s">
        <v>102</v>
      </c>
      <c r="AH1061" s="10" t="s">
        <v>102</v>
      </c>
      <c r="AI1061" s="10" t="s">
        <v>134</v>
      </c>
      <c r="AJ1061" s="10" t="s">
        <v>135</v>
      </c>
      <c r="AK1061" s="10"/>
      <c r="AL1061" s="10"/>
      <c r="AM1061" s="10" t="s">
        <v>136</v>
      </c>
      <c r="AN1061" s="10" t="s">
        <v>242</v>
      </c>
      <c r="AO1061" s="10"/>
      <c r="AP1061" s="10"/>
      <c r="AQ1061" s="10"/>
      <c r="AR1061" s="10"/>
      <c r="AS1061" s="10"/>
      <c r="AT1061" s="10"/>
      <c r="AU1061" s="10">
        <f>(0.6+35)/2</f>
        <v>17.8</v>
      </c>
      <c r="AV1061" s="10">
        <f>(54+215)/2</f>
        <v>134.5</v>
      </c>
      <c r="AW1061" s="10" t="s">
        <v>108</v>
      </c>
      <c r="AX1061" s="10"/>
      <c r="AY1061" s="10"/>
      <c r="AZ1061" s="10" t="s">
        <v>109</v>
      </c>
      <c r="BA1061" s="10" t="s">
        <v>2142</v>
      </c>
      <c r="BB1061" s="10">
        <v>19.5</v>
      </c>
      <c r="BC1061" s="10">
        <v>24.1</v>
      </c>
      <c r="BD1061" s="10"/>
      <c r="BE1061" s="10" t="s">
        <v>139</v>
      </c>
      <c r="BF1061" s="10">
        <v>7</v>
      </c>
      <c r="BG1061" s="10">
        <v>0.1</v>
      </c>
      <c r="BH1061" s="10"/>
      <c r="BI1061" s="10"/>
      <c r="BJ1061" s="10"/>
      <c r="BK1061" s="10"/>
      <c r="BL1061" s="10"/>
      <c r="BM1061" s="10">
        <v>6.45</v>
      </c>
      <c r="BN1061" s="10"/>
      <c r="BO1061" s="10">
        <v>7.6</v>
      </c>
      <c r="BP1061" s="10">
        <v>14</v>
      </c>
      <c r="BQ1061" s="10"/>
      <c r="BR1061" s="10" t="s">
        <v>2120</v>
      </c>
      <c r="BS1061" s="10"/>
      <c r="BT1061" s="10"/>
      <c r="BU1061" s="10" t="s">
        <v>2232</v>
      </c>
      <c r="BV1061">
        <v>33.700000000000003</v>
      </c>
      <c r="BW1061">
        <v>1.6155494420000001</v>
      </c>
      <c r="BX1061">
        <v>29</v>
      </c>
      <c r="BY1061">
        <v>35.1</v>
      </c>
      <c r="BZ1061">
        <v>1.1313708499999999</v>
      </c>
      <c r="CA1061">
        <v>32</v>
      </c>
      <c r="CB1061" t="s">
        <v>113</v>
      </c>
      <c r="CC1061" t="s">
        <v>770</v>
      </c>
    </row>
    <row r="1062" spans="1:81" x14ac:dyDescent="0.25">
      <c r="A1062" s="10" t="s">
        <v>2046</v>
      </c>
      <c r="B1062">
        <v>1061</v>
      </c>
      <c r="C1062" s="10">
        <v>120</v>
      </c>
      <c r="D1062" s="10">
        <v>108</v>
      </c>
      <c r="E1062" s="10">
        <v>237</v>
      </c>
      <c r="F1062" s="10">
        <v>254</v>
      </c>
      <c r="G1062" s="10">
        <v>581</v>
      </c>
      <c r="H1062" s="10">
        <v>926</v>
      </c>
      <c r="I1062" s="10" t="s">
        <v>2218</v>
      </c>
      <c r="J1062" s="10" t="s">
        <v>197</v>
      </c>
      <c r="K1062" s="10"/>
      <c r="L1062" s="10"/>
      <c r="M1062" s="10" t="s">
        <v>85</v>
      </c>
      <c r="N1062" s="10"/>
      <c r="O1062" s="10" t="s">
        <v>14</v>
      </c>
      <c r="P1062" s="10" t="s">
        <v>2228</v>
      </c>
      <c r="Q1062" s="10" t="s">
        <v>2229</v>
      </c>
      <c r="R1062" s="10">
        <v>2008</v>
      </c>
      <c r="S1062" s="10" t="s">
        <v>188</v>
      </c>
      <c r="T1062" s="10"/>
      <c r="U1062" s="10" t="s">
        <v>2230</v>
      </c>
      <c r="V1062" s="10" t="s">
        <v>2231</v>
      </c>
      <c r="W1062" s="10" t="s">
        <v>91</v>
      </c>
      <c r="X1062" s="10" t="s">
        <v>126</v>
      </c>
      <c r="Y1062" s="10" t="s">
        <v>292</v>
      </c>
      <c r="Z1062" s="10" t="s">
        <v>293</v>
      </c>
      <c r="AA1062" s="10" t="s">
        <v>294</v>
      </c>
      <c r="AB1062" s="10" t="s">
        <v>2215</v>
      </c>
      <c r="AC1062" s="10" t="s">
        <v>2216</v>
      </c>
      <c r="AD1062" s="10" t="s">
        <v>132</v>
      </c>
      <c r="AE1062" s="10" t="s">
        <v>133</v>
      </c>
      <c r="AF1062" s="10" t="s">
        <v>100</v>
      </c>
      <c r="AG1062" s="10" t="s">
        <v>102</v>
      </c>
      <c r="AH1062" s="10" t="s">
        <v>102</v>
      </c>
      <c r="AI1062" s="10" t="s">
        <v>134</v>
      </c>
      <c r="AJ1062" s="10" t="s">
        <v>135</v>
      </c>
      <c r="AK1062" s="10"/>
      <c r="AL1062" s="10"/>
      <c r="AM1062" s="10" t="s">
        <v>136</v>
      </c>
      <c r="AN1062" s="10" t="s">
        <v>242</v>
      </c>
      <c r="AO1062" s="10"/>
      <c r="AP1062" s="10"/>
      <c r="AQ1062" s="10"/>
      <c r="AR1062" s="10"/>
      <c r="AS1062" s="10"/>
      <c r="AT1062" s="10"/>
      <c r="AU1062" s="10">
        <f>(0.6+35)/2</f>
        <v>17.8</v>
      </c>
      <c r="AV1062" s="10">
        <f>(54+215)/2</f>
        <v>134.5</v>
      </c>
      <c r="AW1062" s="10" t="s">
        <v>108</v>
      </c>
      <c r="AX1062" s="10"/>
      <c r="AY1062" s="10"/>
      <c r="AZ1062" s="10" t="s">
        <v>109</v>
      </c>
      <c r="BA1062" s="10" t="s">
        <v>142</v>
      </c>
      <c r="BB1062" s="10">
        <v>19.5</v>
      </c>
      <c r="BC1062" s="10">
        <v>24.1</v>
      </c>
      <c r="BD1062" s="10"/>
      <c r="BE1062" s="10" t="s">
        <v>139</v>
      </c>
      <c r="BF1062" s="10">
        <v>7</v>
      </c>
      <c r="BG1062" s="10">
        <v>0.1</v>
      </c>
      <c r="BH1062" s="10"/>
      <c r="BI1062" s="10"/>
      <c r="BJ1062" s="10"/>
      <c r="BK1062" s="10"/>
      <c r="BL1062" s="10"/>
      <c r="BM1062" s="10">
        <v>6.45</v>
      </c>
      <c r="BN1062" s="10"/>
      <c r="BO1062" s="10">
        <v>7.6</v>
      </c>
      <c r="BP1062" s="10">
        <v>14</v>
      </c>
      <c r="BQ1062" s="10"/>
      <c r="BR1062" s="10" t="s">
        <v>2120</v>
      </c>
      <c r="BS1062" s="10"/>
      <c r="BT1062" s="10"/>
      <c r="BU1062" s="10" t="s">
        <v>2232</v>
      </c>
      <c r="BV1062">
        <v>34.799999999999997</v>
      </c>
      <c r="BW1062">
        <v>0.56568542499999996</v>
      </c>
      <c r="BX1062">
        <v>32</v>
      </c>
      <c r="BY1062">
        <v>36.1</v>
      </c>
      <c r="BZ1062">
        <v>0.56568542499999996</v>
      </c>
      <c r="CA1062">
        <v>32</v>
      </c>
      <c r="CB1062" t="s">
        <v>113</v>
      </c>
      <c r="CC1062" t="s">
        <v>770</v>
      </c>
    </row>
    <row r="1063" spans="1:81" x14ac:dyDescent="0.25">
      <c r="A1063" s="10" t="s">
        <v>81</v>
      </c>
      <c r="B1063">
        <v>1062</v>
      </c>
      <c r="C1063" s="10">
        <v>149</v>
      </c>
      <c r="D1063" s="10">
        <v>11</v>
      </c>
      <c r="E1063" s="10">
        <v>238</v>
      </c>
      <c r="F1063" s="10">
        <v>255</v>
      </c>
      <c r="G1063" s="10">
        <v>582</v>
      </c>
      <c r="H1063" s="10">
        <v>927</v>
      </c>
      <c r="I1063" s="10" t="s">
        <v>2194</v>
      </c>
      <c r="J1063" s="10" t="s">
        <v>197</v>
      </c>
      <c r="M1063" s="10" t="s">
        <v>85</v>
      </c>
      <c r="O1063" s="10" t="s">
        <v>14</v>
      </c>
      <c r="P1063" s="10" t="s">
        <v>2233</v>
      </c>
      <c r="Q1063" s="10" t="s">
        <v>2234</v>
      </c>
      <c r="R1063" s="10">
        <v>1960</v>
      </c>
      <c r="S1063" s="10" t="s">
        <v>2235</v>
      </c>
      <c r="V1063" s="10" t="s">
        <v>2236</v>
      </c>
      <c r="W1063" t="s">
        <v>91</v>
      </c>
      <c r="X1063" t="s">
        <v>126</v>
      </c>
      <c r="Y1063" t="s">
        <v>190</v>
      </c>
      <c r="Z1063" t="s">
        <v>191</v>
      </c>
      <c r="AA1063" t="s">
        <v>239</v>
      </c>
      <c r="AB1063" t="s">
        <v>240</v>
      </c>
      <c r="AC1063" t="s">
        <v>241</v>
      </c>
      <c r="AD1063" t="s">
        <v>132</v>
      </c>
      <c r="AE1063" t="s">
        <v>133</v>
      </c>
      <c r="AF1063" t="s">
        <v>100</v>
      </c>
      <c r="AG1063" t="s">
        <v>102</v>
      </c>
      <c r="AH1063" t="s">
        <v>102</v>
      </c>
      <c r="AI1063" t="s">
        <v>134</v>
      </c>
      <c r="AJ1063" t="s">
        <v>135</v>
      </c>
      <c r="AM1063" s="10" t="s">
        <v>136</v>
      </c>
      <c r="AN1063" s="10" t="s">
        <v>106</v>
      </c>
      <c r="AV1063">
        <v>30</v>
      </c>
      <c r="AW1063" s="10" t="s">
        <v>108</v>
      </c>
      <c r="AX1063" s="10">
        <v>5.5</v>
      </c>
      <c r="AY1063" s="10" t="s">
        <v>134</v>
      </c>
      <c r="AZ1063" s="10" t="s">
        <v>109</v>
      </c>
      <c r="BA1063" s="10" t="s">
        <v>142</v>
      </c>
      <c r="BB1063" s="10">
        <v>5.5</v>
      </c>
      <c r="BC1063" s="10">
        <v>10</v>
      </c>
      <c r="BE1063" s="10" t="s">
        <v>139</v>
      </c>
      <c r="BI1063">
        <v>3</v>
      </c>
      <c r="BJ1063">
        <v>1</v>
      </c>
      <c r="BS1063" s="10" t="s">
        <v>515</v>
      </c>
      <c r="BT1063" t="s">
        <v>2250</v>
      </c>
      <c r="BU1063" s="10" t="s">
        <v>2239</v>
      </c>
      <c r="BV1063">
        <v>24.97757</v>
      </c>
      <c r="BW1063">
        <v>0.3722897</v>
      </c>
      <c r="BX1063">
        <v>3</v>
      </c>
      <c r="BY1063">
        <v>25.852630000000001</v>
      </c>
      <c r="BZ1063">
        <v>0.47022609999999998</v>
      </c>
      <c r="CA1063">
        <v>3</v>
      </c>
      <c r="CB1063" t="s">
        <v>215</v>
      </c>
      <c r="CC1063" t="s">
        <v>2241</v>
      </c>
    </row>
    <row r="1064" spans="1:81" x14ac:dyDescent="0.25">
      <c r="A1064" s="10" t="s">
        <v>81</v>
      </c>
      <c r="B1064">
        <v>1063</v>
      </c>
      <c r="C1064" s="10">
        <v>149</v>
      </c>
      <c r="D1064" s="10">
        <v>11</v>
      </c>
      <c r="E1064" s="10">
        <v>238</v>
      </c>
      <c r="F1064" s="10">
        <v>255</v>
      </c>
      <c r="G1064" s="10">
        <v>582</v>
      </c>
      <c r="H1064" s="10">
        <v>928</v>
      </c>
      <c r="I1064" s="10" t="s">
        <v>2194</v>
      </c>
      <c r="J1064" s="10" t="s">
        <v>197</v>
      </c>
      <c r="M1064" s="10" t="s">
        <v>85</v>
      </c>
      <c r="O1064" s="10" t="s">
        <v>14</v>
      </c>
      <c r="P1064" s="10" t="s">
        <v>2233</v>
      </c>
      <c r="Q1064" s="10" t="s">
        <v>2234</v>
      </c>
      <c r="R1064" s="10">
        <v>1960</v>
      </c>
      <c r="S1064" s="10" t="s">
        <v>2235</v>
      </c>
      <c r="V1064" s="10" t="s">
        <v>2236</v>
      </c>
      <c r="W1064" t="s">
        <v>91</v>
      </c>
      <c r="X1064" t="s">
        <v>126</v>
      </c>
      <c r="Y1064" t="s">
        <v>190</v>
      </c>
      <c r="Z1064" t="s">
        <v>191</v>
      </c>
      <c r="AA1064" t="s">
        <v>239</v>
      </c>
      <c r="AB1064" t="s">
        <v>240</v>
      </c>
      <c r="AC1064" t="s">
        <v>241</v>
      </c>
      <c r="AD1064" t="s">
        <v>132</v>
      </c>
      <c r="AE1064" t="s">
        <v>133</v>
      </c>
      <c r="AF1064" t="s">
        <v>100</v>
      </c>
      <c r="AG1064" t="s">
        <v>102</v>
      </c>
      <c r="AH1064" t="s">
        <v>102</v>
      </c>
      <c r="AI1064" t="s">
        <v>134</v>
      </c>
      <c r="AJ1064" t="s">
        <v>135</v>
      </c>
      <c r="AM1064" s="10" t="s">
        <v>136</v>
      </c>
      <c r="AN1064" s="10" t="s">
        <v>106</v>
      </c>
      <c r="AV1064">
        <v>30</v>
      </c>
      <c r="AW1064" s="10" t="s">
        <v>108</v>
      </c>
      <c r="AX1064" s="10">
        <v>5.5</v>
      </c>
      <c r="AY1064" s="10" t="s">
        <v>103</v>
      </c>
      <c r="AZ1064" s="10" t="s">
        <v>109</v>
      </c>
      <c r="BA1064" s="10" t="s">
        <v>142</v>
      </c>
      <c r="BB1064" s="10">
        <v>10</v>
      </c>
      <c r="BC1064" s="10">
        <v>20</v>
      </c>
      <c r="BE1064" s="10" t="s">
        <v>139</v>
      </c>
      <c r="BI1064">
        <v>3</v>
      </c>
      <c r="BJ1064">
        <v>1</v>
      </c>
      <c r="BS1064" s="10" t="s">
        <v>515</v>
      </c>
      <c r="BT1064" t="s">
        <v>2250</v>
      </c>
      <c r="BU1064" s="10" t="s">
        <v>2240</v>
      </c>
      <c r="BV1064">
        <v>25.852630000000001</v>
      </c>
      <c r="BW1064">
        <v>0.47022609999999998</v>
      </c>
      <c r="BX1064">
        <v>3</v>
      </c>
      <c r="BY1064">
        <v>28.679970000000001</v>
      </c>
      <c r="BZ1064">
        <v>1.7840849999999999</v>
      </c>
      <c r="CA1064">
        <v>3</v>
      </c>
      <c r="CB1064" t="s">
        <v>215</v>
      </c>
      <c r="CC1064" t="s">
        <v>2241</v>
      </c>
    </row>
    <row r="1065" spans="1:81" x14ac:dyDescent="0.25">
      <c r="A1065" s="10" t="s">
        <v>81</v>
      </c>
      <c r="B1065">
        <v>1064</v>
      </c>
      <c r="C1065" s="10">
        <v>149</v>
      </c>
      <c r="D1065" s="10">
        <v>137</v>
      </c>
      <c r="E1065" s="10">
        <v>239</v>
      </c>
      <c r="F1065" s="10">
        <v>256</v>
      </c>
      <c r="G1065" s="10">
        <v>583</v>
      </c>
      <c r="H1065" s="10">
        <v>929</v>
      </c>
      <c r="I1065" s="10" t="s">
        <v>2194</v>
      </c>
      <c r="J1065" s="10" t="s">
        <v>197</v>
      </c>
      <c r="M1065" s="10" t="s">
        <v>85</v>
      </c>
      <c r="O1065" s="10" t="s">
        <v>14</v>
      </c>
      <c r="P1065" s="10" t="s">
        <v>2233</v>
      </c>
      <c r="Q1065" s="10" t="s">
        <v>2234</v>
      </c>
      <c r="R1065" s="10">
        <v>1960</v>
      </c>
      <c r="S1065" s="10" t="s">
        <v>2235</v>
      </c>
      <c r="V1065" s="10" t="s">
        <v>2236</v>
      </c>
      <c r="W1065" t="s">
        <v>91</v>
      </c>
      <c r="X1065" t="s">
        <v>126</v>
      </c>
      <c r="Y1065" t="s">
        <v>190</v>
      </c>
      <c r="Z1065" t="s">
        <v>191</v>
      </c>
      <c r="AA1065" t="s">
        <v>239</v>
      </c>
      <c r="AB1065" t="s">
        <v>2237</v>
      </c>
      <c r="AC1065" t="s">
        <v>2238</v>
      </c>
      <c r="AD1065" t="s">
        <v>132</v>
      </c>
      <c r="AE1065" t="s">
        <v>133</v>
      </c>
      <c r="AF1065" t="s">
        <v>100</v>
      </c>
      <c r="AG1065" t="s">
        <v>102</v>
      </c>
      <c r="AH1065" t="s">
        <v>102</v>
      </c>
      <c r="AI1065" t="s">
        <v>134</v>
      </c>
      <c r="AJ1065" t="s">
        <v>135</v>
      </c>
      <c r="AM1065" s="10" t="s">
        <v>136</v>
      </c>
      <c r="AN1065" s="10" t="s">
        <v>106</v>
      </c>
      <c r="AV1065">
        <v>30</v>
      </c>
      <c r="AW1065" s="10" t="s">
        <v>108</v>
      </c>
      <c r="AX1065" s="10">
        <v>5.5</v>
      </c>
      <c r="AY1065" s="10" t="s">
        <v>134</v>
      </c>
      <c r="AZ1065" s="10" t="s">
        <v>109</v>
      </c>
      <c r="BA1065" s="10" t="s">
        <v>142</v>
      </c>
      <c r="BB1065" s="10">
        <v>5.5</v>
      </c>
      <c r="BC1065" s="10">
        <v>10</v>
      </c>
      <c r="BE1065" s="10" t="s">
        <v>139</v>
      </c>
      <c r="BI1065">
        <v>3</v>
      </c>
      <c r="BJ1065">
        <v>1</v>
      </c>
      <c r="BS1065" s="10" t="s">
        <v>515</v>
      </c>
      <c r="BT1065" t="s">
        <v>2250</v>
      </c>
      <c r="BU1065" s="10" t="s">
        <v>2242</v>
      </c>
      <c r="BV1065">
        <v>25.50789</v>
      </c>
      <c r="BW1065">
        <v>1.099245</v>
      </c>
      <c r="BX1065">
        <v>3</v>
      </c>
      <c r="BY1065">
        <v>25.85586</v>
      </c>
      <c r="BZ1065">
        <v>0.46028740000000001</v>
      </c>
      <c r="CA1065">
        <v>3</v>
      </c>
      <c r="CB1065" t="s">
        <v>215</v>
      </c>
      <c r="CC1065" t="s">
        <v>2241</v>
      </c>
    </row>
    <row r="1066" spans="1:81" x14ac:dyDescent="0.25">
      <c r="A1066" s="10" t="s">
        <v>81</v>
      </c>
      <c r="B1066">
        <v>1065</v>
      </c>
      <c r="C1066" s="10">
        <v>149</v>
      </c>
      <c r="D1066" s="10">
        <v>137</v>
      </c>
      <c r="E1066" s="10">
        <v>239</v>
      </c>
      <c r="F1066" s="10">
        <v>256</v>
      </c>
      <c r="G1066" s="10">
        <v>583</v>
      </c>
      <c r="H1066" s="10">
        <v>930</v>
      </c>
      <c r="I1066" s="10" t="s">
        <v>2194</v>
      </c>
      <c r="J1066" s="10" t="s">
        <v>197</v>
      </c>
      <c r="M1066" s="10" t="s">
        <v>85</v>
      </c>
      <c r="O1066" s="10" t="s">
        <v>14</v>
      </c>
      <c r="P1066" s="10" t="s">
        <v>2233</v>
      </c>
      <c r="Q1066" s="10" t="s">
        <v>2234</v>
      </c>
      <c r="R1066" s="10">
        <v>1960</v>
      </c>
      <c r="S1066" s="10" t="s">
        <v>2235</v>
      </c>
      <c r="V1066" s="10" t="s">
        <v>2236</v>
      </c>
      <c r="W1066" t="s">
        <v>91</v>
      </c>
      <c r="X1066" t="s">
        <v>126</v>
      </c>
      <c r="Y1066" t="s">
        <v>190</v>
      </c>
      <c r="Z1066" t="s">
        <v>191</v>
      </c>
      <c r="AA1066" t="s">
        <v>239</v>
      </c>
      <c r="AB1066" t="s">
        <v>2237</v>
      </c>
      <c r="AC1066" t="s">
        <v>2238</v>
      </c>
      <c r="AD1066" t="s">
        <v>132</v>
      </c>
      <c r="AE1066" t="s">
        <v>133</v>
      </c>
      <c r="AF1066" t="s">
        <v>100</v>
      </c>
      <c r="AG1066" t="s">
        <v>102</v>
      </c>
      <c r="AH1066" t="s">
        <v>102</v>
      </c>
      <c r="AI1066" t="s">
        <v>134</v>
      </c>
      <c r="AJ1066" t="s">
        <v>135</v>
      </c>
      <c r="AM1066" s="10" t="s">
        <v>136</v>
      </c>
      <c r="AN1066" s="10" t="s">
        <v>106</v>
      </c>
      <c r="AV1066">
        <v>30</v>
      </c>
      <c r="AW1066" s="10" t="s">
        <v>108</v>
      </c>
      <c r="AX1066" s="10">
        <v>5.5</v>
      </c>
      <c r="AY1066" s="10" t="s">
        <v>103</v>
      </c>
      <c r="AZ1066" s="10" t="s">
        <v>109</v>
      </c>
      <c r="BA1066" s="10" t="s">
        <v>142</v>
      </c>
      <c r="BB1066" s="10">
        <v>10</v>
      </c>
      <c r="BC1066" s="10">
        <v>20</v>
      </c>
      <c r="BE1066" s="10" t="s">
        <v>139</v>
      </c>
      <c r="BI1066">
        <v>3</v>
      </c>
      <c r="BJ1066">
        <v>1</v>
      </c>
      <c r="BS1066" s="10" t="s">
        <v>515</v>
      </c>
      <c r="BT1066" t="s">
        <v>2250</v>
      </c>
      <c r="BU1066" s="10" t="s">
        <v>2244</v>
      </c>
      <c r="BV1066">
        <v>25.85586</v>
      </c>
      <c r="BW1066">
        <v>0.46028740000000001</v>
      </c>
      <c r="BX1066">
        <v>3</v>
      </c>
      <c r="BY1066">
        <v>27.69322</v>
      </c>
      <c r="BZ1066">
        <v>0.64507499999999995</v>
      </c>
      <c r="CA1066">
        <v>3</v>
      </c>
      <c r="CB1066" t="s">
        <v>215</v>
      </c>
      <c r="CC1066" t="s">
        <v>2241</v>
      </c>
    </row>
    <row r="1067" spans="1:81" x14ac:dyDescent="0.25">
      <c r="A1067" s="10" t="s">
        <v>81</v>
      </c>
      <c r="B1067">
        <v>1066</v>
      </c>
      <c r="C1067" s="10">
        <v>149</v>
      </c>
      <c r="D1067" s="10">
        <v>137</v>
      </c>
      <c r="E1067" s="10">
        <v>240</v>
      </c>
      <c r="F1067" s="10">
        <v>257</v>
      </c>
      <c r="G1067" s="10">
        <v>584</v>
      </c>
      <c r="H1067" s="10">
        <v>931</v>
      </c>
      <c r="I1067" s="10" t="s">
        <v>2194</v>
      </c>
      <c r="J1067" s="10" t="s">
        <v>197</v>
      </c>
      <c r="M1067" s="10" t="s">
        <v>85</v>
      </c>
      <c r="O1067" s="10" t="s">
        <v>14</v>
      </c>
      <c r="P1067" s="10" t="s">
        <v>2233</v>
      </c>
      <c r="Q1067" s="10" t="s">
        <v>2234</v>
      </c>
      <c r="R1067" s="10">
        <v>1960</v>
      </c>
      <c r="S1067" s="10" t="s">
        <v>2235</v>
      </c>
      <c r="V1067" s="10" t="s">
        <v>2236</v>
      </c>
      <c r="W1067" t="s">
        <v>91</v>
      </c>
      <c r="X1067" t="s">
        <v>126</v>
      </c>
      <c r="Y1067" t="s">
        <v>190</v>
      </c>
      <c r="Z1067" t="s">
        <v>191</v>
      </c>
      <c r="AA1067" t="s">
        <v>239</v>
      </c>
      <c r="AB1067" t="s">
        <v>2237</v>
      </c>
      <c r="AC1067" t="s">
        <v>2238</v>
      </c>
      <c r="AD1067" t="s">
        <v>132</v>
      </c>
      <c r="AE1067" t="s">
        <v>133</v>
      </c>
      <c r="AF1067" t="s">
        <v>100</v>
      </c>
      <c r="AG1067" t="s">
        <v>102</v>
      </c>
      <c r="AH1067" t="s">
        <v>102</v>
      </c>
      <c r="AI1067" t="s">
        <v>134</v>
      </c>
      <c r="AJ1067" t="s">
        <v>135</v>
      </c>
      <c r="AM1067" s="10" t="s">
        <v>136</v>
      </c>
      <c r="AN1067" s="10" t="s">
        <v>106</v>
      </c>
      <c r="AV1067">
        <v>30</v>
      </c>
      <c r="AW1067" s="10" t="s">
        <v>108</v>
      </c>
      <c r="AX1067" s="10">
        <v>5.5</v>
      </c>
      <c r="AY1067" s="10" t="s">
        <v>134</v>
      </c>
      <c r="AZ1067" s="10" t="s">
        <v>109</v>
      </c>
      <c r="BA1067" s="10" t="s">
        <v>142</v>
      </c>
      <c r="BB1067" s="10">
        <v>5.5</v>
      </c>
      <c r="BC1067" s="10">
        <v>10</v>
      </c>
      <c r="BE1067" s="10" t="s">
        <v>139</v>
      </c>
      <c r="BI1067">
        <v>3</v>
      </c>
      <c r="BJ1067">
        <v>1</v>
      </c>
      <c r="BS1067" s="10" t="s">
        <v>515</v>
      </c>
      <c r="BT1067" t="s">
        <v>2250</v>
      </c>
      <c r="BU1067" s="10" t="s">
        <v>2243</v>
      </c>
      <c r="BV1067">
        <v>25.46696</v>
      </c>
      <c r="BW1067">
        <v>0.99856109999999998</v>
      </c>
      <c r="BX1067">
        <v>3</v>
      </c>
      <c r="BY1067">
        <v>28.698270000000001</v>
      </c>
      <c r="BZ1067">
        <v>0.52819099999999997</v>
      </c>
      <c r="CA1067">
        <v>3</v>
      </c>
      <c r="CB1067" t="s">
        <v>215</v>
      </c>
      <c r="CC1067" t="s">
        <v>2241</v>
      </c>
    </row>
    <row r="1068" spans="1:81" x14ac:dyDescent="0.25">
      <c r="A1068" s="10" t="s">
        <v>81</v>
      </c>
      <c r="B1068">
        <v>1067</v>
      </c>
      <c r="C1068" s="10">
        <v>149</v>
      </c>
      <c r="D1068" s="10">
        <v>137</v>
      </c>
      <c r="E1068" s="10">
        <v>240</v>
      </c>
      <c r="F1068" s="10">
        <v>257</v>
      </c>
      <c r="G1068" s="10">
        <v>584</v>
      </c>
      <c r="H1068" s="10">
        <v>932</v>
      </c>
      <c r="I1068" s="10" t="s">
        <v>2194</v>
      </c>
      <c r="J1068" s="10" t="s">
        <v>197</v>
      </c>
      <c r="M1068" s="10" t="s">
        <v>85</v>
      </c>
      <c r="O1068" s="10" t="s">
        <v>14</v>
      </c>
      <c r="P1068" s="10" t="s">
        <v>2233</v>
      </c>
      <c r="Q1068" s="10" t="s">
        <v>2234</v>
      </c>
      <c r="R1068" s="10">
        <v>1960</v>
      </c>
      <c r="S1068" s="10" t="s">
        <v>2235</v>
      </c>
      <c r="V1068" s="10" t="s">
        <v>2236</v>
      </c>
      <c r="W1068" t="s">
        <v>91</v>
      </c>
      <c r="X1068" t="s">
        <v>126</v>
      </c>
      <c r="Y1068" t="s">
        <v>190</v>
      </c>
      <c r="Z1068" t="s">
        <v>191</v>
      </c>
      <c r="AA1068" t="s">
        <v>239</v>
      </c>
      <c r="AB1068" t="s">
        <v>2237</v>
      </c>
      <c r="AC1068" t="s">
        <v>2238</v>
      </c>
      <c r="AD1068" t="s">
        <v>132</v>
      </c>
      <c r="AE1068" t="s">
        <v>133</v>
      </c>
      <c r="AF1068" t="s">
        <v>100</v>
      </c>
      <c r="AG1068" t="s">
        <v>102</v>
      </c>
      <c r="AH1068" t="s">
        <v>102</v>
      </c>
      <c r="AI1068" t="s">
        <v>134</v>
      </c>
      <c r="AJ1068" t="s">
        <v>135</v>
      </c>
      <c r="AM1068" s="10" t="s">
        <v>136</v>
      </c>
      <c r="AN1068" s="10" t="s">
        <v>106</v>
      </c>
      <c r="AV1068">
        <v>30</v>
      </c>
      <c r="AW1068" s="10" t="s">
        <v>108</v>
      </c>
      <c r="AX1068" s="10">
        <v>5.5</v>
      </c>
      <c r="AY1068" s="10" t="s">
        <v>103</v>
      </c>
      <c r="AZ1068" s="10" t="s">
        <v>109</v>
      </c>
      <c r="BA1068" s="10" t="s">
        <v>142</v>
      </c>
      <c r="BB1068" s="10">
        <v>10</v>
      </c>
      <c r="BC1068" s="10">
        <v>20</v>
      </c>
      <c r="BE1068" s="10" t="s">
        <v>139</v>
      </c>
      <c r="BI1068">
        <v>3</v>
      </c>
      <c r="BJ1068">
        <v>1</v>
      </c>
      <c r="BS1068" s="10" t="s">
        <v>515</v>
      </c>
      <c r="BT1068" t="s">
        <v>2250</v>
      </c>
      <c r="BU1068" s="10" t="s">
        <v>2245</v>
      </c>
      <c r="BV1068">
        <v>28.698270000000001</v>
      </c>
      <c r="BW1068">
        <v>0.52819099999999997</v>
      </c>
      <c r="BX1068">
        <v>3</v>
      </c>
      <c r="BY1068">
        <v>30.85859</v>
      </c>
      <c r="BZ1068">
        <v>1.2803290000000001</v>
      </c>
      <c r="CA1068">
        <v>3</v>
      </c>
      <c r="CB1068" t="s">
        <v>215</v>
      </c>
      <c r="CC1068" t="s">
        <v>2241</v>
      </c>
    </row>
    <row r="1069" spans="1:81" x14ac:dyDescent="0.25">
      <c r="A1069" s="10" t="s">
        <v>81</v>
      </c>
      <c r="B1069">
        <v>1068</v>
      </c>
      <c r="C1069" s="10">
        <v>150</v>
      </c>
      <c r="D1069" s="10">
        <v>62</v>
      </c>
      <c r="E1069" s="10">
        <v>241</v>
      </c>
      <c r="F1069" s="10">
        <v>258</v>
      </c>
      <c r="G1069" s="10">
        <v>585</v>
      </c>
      <c r="H1069" s="10">
        <v>933</v>
      </c>
      <c r="I1069" s="10" t="s">
        <v>2194</v>
      </c>
      <c r="J1069" s="10" t="s">
        <v>184</v>
      </c>
      <c r="L1069" s="10" t="s">
        <v>2252</v>
      </c>
      <c r="M1069" s="10" t="s">
        <v>85</v>
      </c>
      <c r="O1069" s="10" t="s">
        <v>14</v>
      </c>
      <c r="P1069" s="10" t="s">
        <v>2246</v>
      </c>
      <c r="Q1069" s="10" t="s">
        <v>2249</v>
      </c>
      <c r="R1069" s="10">
        <v>1960</v>
      </c>
      <c r="S1069" s="10" t="s">
        <v>2247</v>
      </c>
      <c r="V1069" s="10" t="s">
        <v>2248</v>
      </c>
      <c r="W1069" t="s">
        <v>91</v>
      </c>
      <c r="X1069" t="s">
        <v>126</v>
      </c>
      <c r="Y1069" t="s">
        <v>824</v>
      </c>
      <c r="Z1069" t="s">
        <v>825</v>
      </c>
      <c r="AA1069" t="s">
        <v>826</v>
      </c>
      <c r="AB1069" t="s">
        <v>827</v>
      </c>
      <c r="AC1069" t="s">
        <v>828</v>
      </c>
      <c r="AD1069" t="s">
        <v>132</v>
      </c>
      <c r="AE1069" t="s">
        <v>133</v>
      </c>
      <c r="AF1069" t="s">
        <v>100</v>
      </c>
      <c r="AG1069" t="s">
        <v>261</v>
      </c>
      <c r="AH1069" t="s">
        <v>102</v>
      </c>
      <c r="AI1069" t="s">
        <v>134</v>
      </c>
      <c r="AJ1069" t="s">
        <v>135</v>
      </c>
      <c r="AM1069" t="s">
        <v>178</v>
      </c>
      <c r="AN1069" t="s">
        <v>106</v>
      </c>
      <c r="AR1069" t="s">
        <v>107</v>
      </c>
      <c r="AS1069">
        <v>1957</v>
      </c>
      <c r="AT1069">
        <v>7</v>
      </c>
      <c r="AV1069">
        <v>2</v>
      </c>
      <c r="AW1069" s="10" t="s">
        <v>108</v>
      </c>
      <c r="AY1069" s="10" t="s">
        <v>103</v>
      </c>
      <c r="AZ1069" s="10" t="s">
        <v>212</v>
      </c>
      <c r="BA1069" s="10" t="s">
        <v>142</v>
      </c>
      <c r="BB1069" s="10">
        <v>7.5</v>
      </c>
      <c r="BC1069" s="10">
        <v>11</v>
      </c>
      <c r="BE1069" s="10" t="s">
        <v>139</v>
      </c>
      <c r="BH1069">
        <v>24</v>
      </c>
      <c r="BT1069" t="s">
        <v>2253</v>
      </c>
      <c r="BV1069">
        <v>22.321428569999998</v>
      </c>
      <c r="BW1069" t="s">
        <v>454</v>
      </c>
      <c r="BX1069" t="s">
        <v>454</v>
      </c>
      <c r="BY1069">
        <v>22.625</v>
      </c>
      <c r="BZ1069" t="s">
        <v>454</v>
      </c>
      <c r="CA1069" t="s">
        <v>454</v>
      </c>
      <c r="CB1069" t="s">
        <v>215</v>
      </c>
      <c r="CC1069" t="s">
        <v>2254</v>
      </c>
    </row>
    <row r="1070" spans="1:81" x14ac:dyDescent="0.25">
      <c r="A1070" s="10" t="s">
        <v>81</v>
      </c>
      <c r="B1070">
        <v>1069</v>
      </c>
      <c r="C1070" s="10">
        <v>150</v>
      </c>
      <c r="D1070" s="10">
        <v>62</v>
      </c>
      <c r="E1070" s="10">
        <v>241</v>
      </c>
      <c r="F1070" s="10">
        <v>258</v>
      </c>
      <c r="G1070" s="10">
        <v>585</v>
      </c>
      <c r="H1070" s="10">
        <v>934</v>
      </c>
      <c r="I1070" s="10" t="s">
        <v>2194</v>
      </c>
      <c r="J1070" s="10" t="s">
        <v>184</v>
      </c>
      <c r="L1070" s="10" t="s">
        <v>2252</v>
      </c>
      <c r="M1070" s="10" t="s">
        <v>85</v>
      </c>
      <c r="O1070" s="10" t="s">
        <v>14</v>
      </c>
      <c r="P1070" s="10" t="s">
        <v>2246</v>
      </c>
      <c r="Q1070" s="10" t="s">
        <v>2249</v>
      </c>
      <c r="R1070" s="10">
        <v>1960</v>
      </c>
      <c r="S1070" s="10" t="s">
        <v>2247</v>
      </c>
      <c r="V1070" s="10" t="s">
        <v>2248</v>
      </c>
      <c r="W1070" t="s">
        <v>91</v>
      </c>
      <c r="X1070" t="s">
        <v>126</v>
      </c>
      <c r="Y1070" t="s">
        <v>824</v>
      </c>
      <c r="Z1070" t="s">
        <v>825</v>
      </c>
      <c r="AA1070" t="s">
        <v>826</v>
      </c>
      <c r="AB1070" t="s">
        <v>827</v>
      </c>
      <c r="AC1070" t="s">
        <v>828</v>
      </c>
      <c r="AD1070" t="s">
        <v>132</v>
      </c>
      <c r="AE1070" t="s">
        <v>133</v>
      </c>
      <c r="AF1070" t="s">
        <v>100</v>
      </c>
      <c r="AG1070" t="s">
        <v>261</v>
      </c>
      <c r="AH1070" t="s">
        <v>102</v>
      </c>
      <c r="AI1070" t="s">
        <v>134</v>
      </c>
      <c r="AJ1070" t="s">
        <v>135</v>
      </c>
      <c r="AM1070" t="s">
        <v>178</v>
      </c>
      <c r="AN1070" t="s">
        <v>106</v>
      </c>
      <c r="AR1070" t="s">
        <v>107</v>
      </c>
      <c r="AS1070">
        <v>1957</v>
      </c>
      <c r="AT1070">
        <v>7</v>
      </c>
      <c r="AV1070">
        <v>2</v>
      </c>
      <c r="AW1070" s="10" t="s">
        <v>108</v>
      </c>
      <c r="AY1070" s="10" t="s">
        <v>103</v>
      </c>
      <c r="AZ1070" s="10" t="s">
        <v>212</v>
      </c>
      <c r="BA1070" s="10" t="s">
        <v>142</v>
      </c>
      <c r="BB1070" s="10">
        <v>11</v>
      </c>
      <c r="BC1070" s="10">
        <v>15</v>
      </c>
      <c r="BE1070" s="10" t="s">
        <v>139</v>
      </c>
      <c r="BH1070">
        <v>24</v>
      </c>
      <c r="BT1070" t="s">
        <v>2253</v>
      </c>
      <c r="BV1070">
        <v>22.625</v>
      </c>
      <c r="BW1070" t="s">
        <v>454</v>
      </c>
      <c r="BX1070" t="s">
        <v>454</v>
      </c>
      <c r="BY1070">
        <v>23.375</v>
      </c>
      <c r="BZ1070" t="s">
        <v>454</v>
      </c>
      <c r="CA1070" t="s">
        <v>454</v>
      </c>
      <c r="CB1070" t="s">
        <v>215</v>
      </c>
      <c r="CC1070" t="s">
        <v>2254</v>
      </c>
    </row>
    <row r="1071" spans="1:81" x14ac:dyDescent="0.25">
      <c r="A1071" s="10" t="s">
        <v>81</v>
      </c>
      <c r="B1071">
        <v>1070</v>
      </c>
      <c r="C1071" s="10">
        <v>150</v>
      </c>
      <c r="D1071" s="10">
        <v>62</v>
      </c>
      <c r="E1071" s="10">
        <v>242</v>
      </c>
      <c r="F1071" s="10">
        <v>259</v>
      </c>
      <c r="G1071" s="10">
        <v>586</v>
      </c>
      <c r="H1071" s="10">
        <v>935</v>
      </c>
      <c r="I1071" s="10" t="s">
        <v>2194</v>
      </c>
      <c r="J1071" s="10" t="s">
        <v>184</v>
      </c>
      <c r="L1071" s="10" t="s">
        <v>2252</v>
      </c>
      <c r="M1071" s="10" t="s">
        <v>85</v>
      </c>
      <c r="O1071" s="10" t="s">
        <v>14</v>
      </c>
      <c r="P1071" s="10" t="s">
        <v>2246</v>
      </c>
      <c r="Q1071" s="10" t="s">
        <v>2249</v>
      </c>
      <c r="R1071" s="10">
        <v>1960</v>
      </c>
      <c r="S1071" s="10" t="s">
        <v>2247</v>
      </c>
      <c r="V1071" s="10" t="s">
        <v>2248</v>
      </c>
      <c r="W1071" t="s">
        <v>91</v>
      </c>
      <c r="X1071" t="s">
        <v>126</v>
      </c>
      <c r="Y1071" t="s">
        <v>824</v>
      </c>
      <c r="Z1071" t="s">
        <v>825</v>
      </c>
      <c r="AA1071" t="s">
        <v>826</v>
      </c>
      <c r="AB1071" t="s">
        <v>827</v>
      </c>
      <c r="AC1071" t="s">
        <v>828</v>
      </c>
      <c r="AD1071" t="s">
        <v>132</v>
      </c>
      <c r="AE1071" t="s">
        <v>133</v>
      </c>
      <c r="AF1071" t="s">
        <v>100</v>
      </c>
      <c r="AG1071" t="s">
        <v>261</v>
      </c>
      <c r="AH1071" t="s">
        <v>102</v>
      </c>
      <c r="AI1071" t="s">
        <v>134</v>
      </c>
      <c r="AJ1071" t="s">
        <v>135</v>
      </c>
      <c r="AM1071" t="s">
        <v>178</v>
      </c>
      <c r="AN1071" t="s">
        <v>106</v>
      </c>
      <c r="AR1071" t="s">
        <v>179</v>
      </c>
      <c r="AS1071">
        <v>1957</v>
      </c>
      <c r="AT1071">
        <v>7</v>
      </c>
      <c r="AV1071">
        <v>2</v>
      </c>
      <c r="AW1071" s="10" t="s">
        <v>108</v>
      </c>
      <c r="AY1071" s="10" t="s">
        <v>103</v>
      </c>
      <c r="AZ1071" s="10" t="s">
        <v>212</v>
      </c>
      <c r="BA1071" s="10" t="s">
        <v>142</v>
      </c>
      <c r="BB1071" s="10">
        <v>11</v>
      </c>
      <c r="BC1071" s="10">
        <v>15.5</v>
      </c>
      <c r="BE1071" s="10" t="s">
        <v>139</v>
      </c>
      <c r="BH1071">
        <v>24</v>
      </c>
      <c r="BT1071" t="s">
        <v>2253</v>
      </c>
      <c r="BV1071">
        <v>21.98214286</v>
      </c>
      <c r="BW1071" t="s">
        <v>454</v>
      </c>
      <c r="BX1071" t="s">
        <v>454</v>
      </c>
      <c r="BY1071">
        <v>22.946428569999998</v>
      </c>
      <c r="BZ1071" t="s">
        <v>454</v>
      </c>
      <c r="CA1071" t="s">
        <v>454</v>
      </c>
      <c r="CB1071" t="s">
        <v>215</v>
      </c>
      <c r="CC1071" t="s">
        <v>2254</v>
      </c>
    </row>
    <row r="1072" spans="1:81" x14ac:dyDescent="0.25">
      <c r="A1072" s="10" t="s">
        <v>81</v>
      </c>
      <c r="B1072">
        <v>1071</v>
      </c>
      <c r="C1072" s="10">
        <v>151</v>
      </c>
      <c r="D1072" s="10">
        <v>138</v>
      </c>
      <c r="E1072" s="10">
        <v>243</v>
      </c>
      <c r="F1072" s="10">
        <v>260</v>
      </c>
      <c r="G1072" s="10">
        <v>587</v>
      </c>
      <c r="H1072" s="10">
        <v>936</v>
      </c>
      <c r="I1072" s="10" t="s">
        <v>2194</v>
      </c>
      <c r="J1072" s="10" t="s">
        <v>424</v>
      </c>
      <c r="L1072" s="10" t="s">
        <v>2265</v>
      </c>
      <c r="M1072" s="10" t="s">
        <v>85</v>
      </c>
      <c r="O1072" s="10" t="s">
        <v>14</v>
      </c>
      <c r="P1072" s="10" t="s">
        <v>2255</v>
      </c>
      <c r="Q1072" s="10" t="s">
        <v>2256</v>
      </c>
      <c r="R1072" s="10">
        <v>1969</v>
      </c>
      <c r="S1072" s="10" t="s">
        <v>1859</v>
      </c>
      <c r="V1072" s="10" t="s">
        <v>2257</v>
      </c>
      <c r="W1072" t="s">
        <v>91</v>
      </c>
      <c r="X1072" t="s">
        <v>508</v>
      </c>
      <c r="Y1072" t="s">
        <v>509</v>
      </c>
      <c r="Z1072" t="s">
        <v>839</v>
      </c>
      <c r="AA1072" t="s">
        <v>2260</v>
      </c>
      <c r="AB1072" t="s">
        <v>2258</v>
      </c>
      <c r="AC1072" t="s">
        <v>2267</v>
      </c>
      <c r="AD1072" t="s">
        <v>132</v>
      </c>
      <c r="AE1072" t="s">
        <v>514</v>
      </c>
      <c r="AF1072" t="s">
        <v>100</v>
      </c>
      <c r="AG1072" t="s">
        <v>102</v>
      </c>
      <c r="AH1072" t="s">
        <v>102</v>
      </c>
      <c r="AI1072" t="s">
        <v>134</v>
      </c>
      <c r="AJ1072" t="s">
        <v>135</v>
      </c>
      <c r="AM1072" t="s">
        <v>136</v>
      </c>
      <c r="AN1072" t="s">
        <v>106</v>
      </c>
      <c r="AW1072" s="10" t="s">
        <v>108</v>
      </c>
      <c r="AX1072">
        <f t="shared" ref="AX1072:AX1086" si="44">(18+23)/2</f>
        <v>20.5</v>
      </c>
      <c r="AY1072" s="10" t="s">
        <v>103</v>
      </c>
      <c r="AZ1072" s="10" t="s">
        <v>212</v>
      </c>
      <c r="BA1072" s="10" t="s">
        <v>142</v>
      </c>
      <c r="BB1072" s="10">
        <v>17</v>
      </c>
      <c r="BC1072" s="10">
        <v>20</v>
      </c>
      <c r="BE1072" s="10" t="s">
        <v>139</v>
      </c>
      <c r="BF1072">
        <f>(16+14)/2</f>
        <v>15</v>
      </c>
      <c r="BH1072">
        <f t="shared" ref="BH1072:BH1086" si="45">500/60</f>
        <v>8.3333333333333339</v>
      </c>
      <c r="BI1072">
        <v>4</v>
      </c>
      <c r="BJ1072">
        <v>1</v>
      </c>
      <c r="BK1072">
        <f t="shared" ref="BK1072:BK1086" si="46">(4+12)/2</f>
        <v>8</v>
      </c>
      <c r="BS1072" s="10" t="s">
        <v>515</v>
      </c>
      <c r="BT1072" t="s">
        <v>2296</v>
      </c>
      <c r="BU1072" t="s">
        <v>2273</v>
      </c>
      <c r="BV1072">
        <v>37.809358799999998</v>
      </c>
      <c r="BW1072" t="s">
        <v>454</v>
      </c>
      <c r="BX1072">
        <v>4</v>
      </c>
      <c r="BY1072">
        <v>39.483535500000002</v>
      </c>
      <c r="BZ1072" t="s">
        <v>454</v>
      </c>
      <c r="CA1072">
        <v>4</v>
      </c>
      <c r="CB1072" t="s">
        <v>215</v>
      </c>
      <c r="CC1072" t="s">
        <v>2272</v>
      </c>
    </row>
    <row r="1073" spans="1:81" x14ac:dyDescent="0.25">
      <c r="A1073" s="10" t="s">
        <v>81</v>
      </c>
      <c r="B1073">
        <v>1072</v>
      </c>
      <c r="C1073" s="10">
        <v>151</v>
      </c>
      <c r="D1073" s="10">
        <v>138</v>
      </c>
      <c r="E1073" s="10">
        <v>243</v>
      </c>
      <c r="F1073" s="10">
        <v>260</v>
      </c>
      <c r="G1073" s="10">
        <v>587</v>
      </c>
      <c r="H1073" s="10">
        <v>937</v>
      </c>
      <c r="I1073" s="10" t="s">
        <v>2194</v>
      </c>
      <c r="J1073" s="10" t="s">
        <v>424</v>
      </c>
      <c r="L1073" s="10" t="s">
        <v>2265</v>
      </c>
      <c r="M1073" s="10" t="s">
        <v>85</v>
      </c>
      <c r="O1073" s="10" t="s">
        <v>14</v>
      </c>
      <c r="P1073" s="10" t="s">
        <v>2255</v>
      </c>
      <c r="Q1073" s="10" t="s">
        <v>2256</v>
      </c>
      <c r="R1073" s="10">
        <v>1969</v>
      </c>
      <c r="S1073" s="10" t="s">
        <v>1859</v>
      </c>
      <c r="V1073" s="10" t="s">
        <v>2257</v>
      </c>
      <c r="W1073" t="s">
        <v>91</v>
      </c>
      <c r="X1073" t="s">
        <v>508</v>
      </c>
      <c r="Y1073" t="s">
        <v>509</v>
      </c>
      <c r="Z1073" t="s">
        <v>839</v>
      </c>
      <c r="AA1073" t="s">
        <v>2260</v>
      </c>
      <c r="AB1073" t="s">
        <v>2258</v>
      </c>
      <c r="AC1073" t="s">
        <v>2267</v>
      </c>
      <c r="AD1073" t="s">
        <v>132</v>
      </c>
      <c r="AE1073" t="s">
        <v>514</v>
      </c>
      <c r="AF1073" t="s">
        <v>100</v>
      </c>
      <c r="AG1073" t="s">
        <v>102</v>
      </c>
      <c r="AH1073" t="s">
        <v>102</v>
      </c>
      <c r="AI1073" t="s">
        <v>134</v>
      </c>
      <c r="AJ1073" t="s">
        <v>135</v>
      </c>
      <c r="AM1073" t="s">
        <v>136</v>
      </c>
      <c r="AN1073" t="s">
        <v>106</v>
      </c>
      <c r="AW1073" s="10" t="s">
        <v>108</v>
      </c>
      <c r="AX1073">
        <f t="shared" si="44"/>
        <v>20.5</v>
      </c>
      <c r="AY1073" s="10" t="s">
        <v>103</v>
      </c>
      <c r="AZ1073" s="10" t="s">
        <v>212</v>
      </c>
      <c r="BA1073" s="10" t="s">
        <v>142</v>
      </c>
      <c r="BB1073" s="10">
        <v>20</v>
      </c>
      <c r="BC1073" s="10">
        <v>25</v>
      </c>
      <c r="BE1073" s="10" t="s">
        <v>139</v>
      </c>
      <c r="BF1073">
        <f>(14+7)/2</f>
        <v>10.5</v>
      </c>
      <c r="BH1073">
        <f t="shared" si="45"/>
        <v>8.3333333333333339</v>
      </c>
      <c r="BI1073">
        <v>4</v>
      </c>
      <c r="BJ1073">
        <v>1</v>
      </c>
      <c r="BK1073">
        <f t="shared" si="46"/>
        <v>8</v>
      </c>
      <c r="BS1073" s="10" t="s">
        <v>515</v>
      </c>
      <c r="BT1073" t="s">
        <v>2296</v>
      </c>
      <c r="BU1073" t="s">
        <v>2273</v>
      </c>
      <c r="BV1073">
        <v>39.483535500000002</v>
      </c>
      <c r="BW1073" t="s">
        <v>454</v>
      </c>
      <c r="BX1073">
        <v>4</v>
      </c>
      <c r="BY1073">
        <v>40.077989600000002</v>
      </c>
      <c r="BZ1073" t="s">
        <v>454</v>
      </c>
      <c r="CA1073">
        <v>4</v>
      </c>
      <c r="CB1073" t="s">
        <v>215</v>
      </c>
      <c r="CC1073" t="s">
        <v>2272</v>
      </c>
    </row>
    <row r="1074" spans="1:81" x14ac:dyDescent="0.25">
      <c r="A1074" s="10" t="s">
        <v>81</v>
      </c>
      <c r="B1074">
        <v>1073</v>
      </c>
      <c r="C1074" s="10">
        <v>151</v>
      </c>
      <c r="D1074" s="10">
        <v>138</v>
      </c>
      <c r="E1074" s="10">
        <v>243</v>
      </c>
      <c r="F1074" s="10">
        <v>260</v>
      </c>
      <c r="G1074" s="10">
        <v>587</v>
      </c>
      <c r="H1074" s="10">
        <v>938</v>
      </c>
      <c r="I1074" s="10" t="s">
        <v>2194</v>
      </c>
      <c r="J1074" s="10" t="s">
        <v>424</v>
      </c>
      <c r="L1074" s="10" t="s">
        <v>2265</v>
      </c>
      <c r="M1074" s="10" t="s">
        <v>85</v>
      </c>
      <c r="O1074" s="10" t="s">
        <v>14</v>
      </c>
      <c r="P1074" s="10" t="s">
        <v>2255</v>
      </c>
      <c r="Q1074" s="10" t="s">
        <v>2256</v>
      </c>
      <c r="R1074" s="10">
        <v>1969</v>
      </c>
      <c r="S1074" s="10" t="s">
        <v>1859</v>
      </c>
      <c r="V1074" s="10" t="s">
        <v>2257</v>
      </c>
      <c r="W1074" t="s">
        <v>91</v>
      </c>
      <c r="X1074" t="s">
        <v>508</v>
      </c>
      <c r="Y1074" t="s">
        <v>509</v>
      </c>
      <c r="Z1074" t="s">
        <v>839</v>
      </c>
      <c r="AA1074" t="s">
        <v>2260</v>
      </c>
      <c r="AB1074" t="s">
        <v>2258</v>
      </c>
      <c r="AC1074" t="s">
        <v>2267</v>
      </c>
      <c r="AD1074" t="s">
        <v>132</v>
      </c>
      <c r="AE1074" t="s">
        <v>514</v>
      </c>
      <c r="AF1074" t="s">
        <v>100</v>
      </c>
      <c r="AG1074" t="s">
        <v>102</v>
      </c>
      <c r="AH1074" t="s">
        <v>102</v>
      </c>
      <c r="AI1074" t="s">
        <v>134</v>
      </c>
      <c r="AJ1074" t="s">
        <v>135</v>
      </c>
      <c r="AM1074" t="s">
        <v>136</v>
      </c>
      <c r="AN1074" t="s">
        <v>106</v>
      </c>
      <c r="AW1074" s="10" t="s">
        <v>108</v>
      </c>
      <c r="AX1074">
        <f t="shared" si="44"/>
        <v>20.5</v>
      </c>
      <c r="AY1074" s="10" t="s">
        <v>103</v>
      </c>
      <c r="AZ1074" s="10" t="s">
        <v>212</v>
      </c>
      <c r="BA1074" s="10" t="s">
        <v>142</v>
      </c>
      <c r="BB1074" s="10">
        <v>25</v>
      </c>
      <c r="BC1074" s="10">
        <v>31</v>
      </c>
      <c r="BE1074" s="10" t="s">
        <v>139</v>
      </c>
      <c r="BF1074">
        <f>(7+7)/2</f>
        <v>7</v>
      </c>
      <c r="BH1074">
        <f t="shared" si="45"/>
        <v>8.3333333333333339</v>
      </c>
      <c r="BI1074">
        <v>4</v>
      </c>
      <c r="BJ1074">
        <v>1</v>
      </c>
      <c r="BK1074">
        <f t="shared" si="46"/>
        <v>8</v>
      </c>
      <c r="BS1074" s="10"/>
      <c r="BT1074" t="s">
        <v>2296</v>
      </c>
      <c r="BU1074" t="s">
        <v>2271</v>
      </c>
      <c r="BV1074">
        <v>40.077989600000002</v>
      </c>
      <c r="BW1074" t="s">
        <v>454</v>
      </c>
      <c r="BX1074">
        <v>4</v>
      </c>
      <c r="BY1074">
        <v>41.194107500000001</v>
      </c>
      <c r="BZ1074" t="s">
        <v>454</v>
      </c>
      <c r="CA1074">
        <v>4</v>
      </c>
      <c r="CB1074" t="s">
        <v>215</v>
      </c>
      <c r="CC1074" t="s">
        <v>2272</v>
      </c>
    </row>
    <row r="1075" spans="1:81" x14ac:dyDescent="0.25">
      <c r="A1075" s="10" t="s">
        <v>81</v>
      </c>
      <c r="B1075">
        <v>1074</v>
      </c>
      <c r="C1075" s="10">
        <v>151</v>
      </c>
      <c r="D1075">
        <v>138</v>
      </c>
      <c r="E1075" s="10">
        <v>243</v>
      </c>
      <c r="F1075" s="10">
        <v>260</v>
      </c>
      <c r="G1075" s="10">
        <v>587</v>
      </c>
      <c r="H1075" s="10">
        <v>939</v>
      </c>
      <c r="I1075" s="10" t="s">
        <v>2194</v>
      </c>
      <c r="J1075" s="10" t="s">
        <v>424</v>
      </c>
      <c r="L1075" s="10" t="s">
        <v>2265</v>
      </c>
      <c r="M1075" s="10" t="s">
        <v>85</v>
      </c>
      <c r="O1075" s="10" t="s">
        <v>14</v>
      </c>
      <c r="P1075" s="10" t="s">
        <v>2255</v>
      </c>
      <c r="Q1075" s="10" t="s">
        <v>2256</v>
      </c>
      <c r="R1075" s="10">
        <v>1969</v>
      </c>
      <c r="S1075" s="10" t="s">
        <v>1859</v>
      </c>
      <c r="V1075" s="10" t="s">
        <v>2257</v>
      </c>
      <c r="W1075" t="s">
        <v>91</v>
      </c>
      <c r="X1075" t="s">
        <v>508</v>
      </c>
      <c r="Y1075" t="s">
        <v>509</v>
      </c>
      <c r="Z1075" t="s">
        <v>839</v>
      </c>
      <c r="AA1075" t="s">
        <v>2260</v>
      </c>
      <c r="AB1075" t="s">
        <v>2258</v>
      </c>
      <c r="AC1075" t="s">
        <v>2267</v>
      </c>
      <c r="AD1075" t="s">
        <v>132</v>
      </c>
      <c r="AE1075" t="s">
        <v>514</v>
      </c>
      <c r="AF1075" t="s">
        <v>100</v>
      </c>
      <c r="AG1075" t="s">
        <v>102</v>
      </c>
      <c r="AH1075" t="s">
        <v>102</v>
      </c>
      <c r="AI1075" t="s">
        <v>134</v>
      </c>
      <c r="AJ1075" t="s">
        <v>135</v>
      </c>
      <c r="AM1075" t="s">
        <v>136</v>
      </c>
      <c r="AN1075" t="s">
        <v>106</v>
      </c>
      <c r="AW1075" s="10" t="s">
        <v>108</v>
      </c>
      <c r="AX1075">
        <f t="shared" si="44"/>
        <v>20.5</v>
      </c>
      <c r="AY1075" s="10" t="s">
        <v>103</v>
      </c>
      <c r="AZ1075" s="10" t="s">
        <v>212</v>
      </c>
      <c r="BA1075" s="10" t="s">
        <v>142</v>
      </c>
      <c r="BB1075" s="10">
        <v>31</v>
      </c>
      <c r="BC1075" s="10">
        <v>35</v>
      </c>
      <c r="BE1075" s="10" t="s">
        <v>139</v>
      </c>
      <c r="BF1075">
        <f>(7+5)/2</f>
        <v>6</v>
      </c>
      <c r="BH1075">
        <f t="shared" si="45"/>
        <v>8.3333333333333339</v>
      </c>
      <c r="BI1075">
        <v>3</v>
      </c>
      <c r="BJ1075">
        <v>1</v>
      </c>
      <c r="BK1075">
        <f t="shared" si="46"/>
        <v>8</v>
      </c>
      <c r="BS1075" s="10" t="s">
        <v>515</v>
      </c>
      <c r="BT1075" t="s">
        <v>2296</v>
      </c>
      <c r="BU1075" t="s">
        <v>2273</v>
      </c>
      <c r="BV1075">
        <v>41.194107500000001</v>
      </c>
      <c r="BW1075" t="s">
        <v>454</v>
      </c>
      <c r="BX1075">
        <v>3</v>
      </c>
      <c r="BY1075">
        <v>41.485268599999998</v>
      </c>
      <c r="BZ1075" t="s">
        <v>454</v>
      </c>
      <c r="CA1075">
        <v>3</v>
      </c>
      <c r="CB1075" t="s">
        <v>215</v>
      </c>
      <c r="CC1075" t="s">
        <v>2272</v>
      </c>
    </row>
    <row r="1076" spans="1:81" x14ac:dyDescent="0.25">
      <c r="A1076" s="10" t="s">
        <v>81</v>
      </c>
      <c r="B1076">
        <v>1075</v>
      </c>
      <c r="C1076" s="10">
        <v>151</v>
      </c>
      <c r="D1076">
        <v>139</v>
      </c>
      <c r="E1076" s="10">
        <v>244</v>
      </c>
      <c r="F1076" s="10">
        <v>261</v>
      </c>
      <c r="G1076" s="10">
        <v>588</v>
      </c>
      <c r="H1076" s="10">
        <v>940</v>
      </c>
      <c r="I1076" s="10" t="s">
        <v>2194</v>
      </c>
      <c r="J1076" s="10" t="s">
        <v>424</v>
      </c>
      <c r="L1076" s="10" t="s">
        <v>2265</v>
      </c>
      <c r="M1076" s="10" t="s">
        <v>85</v>
      </c>
      <c r="O1076" s="10" t="s">
        <v>14</v>
      </c>
      <c r="P1076" s="10" t="s">
        <v>2255</v>
      </c>
      <c r="Q1076" s="10" t="s">
        <v>2256</v>
      </c>
      <c r="R1076" s="10">
        <v>1969</v>
      </c>
      <c r="S1076" s="10" t="s">
        <v>1859</v>
      </c>
      <c r="V1076" s="10" t="s">
        <v>2257</v>
      </c>
      <c r="W1076" t="s">
        <v>91</v>
      </c>
      <c r="X1076" t="s">
        <v>508</v>
      </c>
      <c r="Y1076" t="s">
        <v>509</v>
      </c>
      <c r="Z1076" t="s">
        <v>839</v>
      </c>
      <c r="AA1076" t="s">
        <v>2260</v>
      </c>
      <c r="AB1076" t="s">
        <v>2259</v>
      </c>
      <c r="AC1076" t="s">
        <v>2268</v>
      </c>
      <c r="AD1076" t="s">
        <v>132</v>
      </c>
      <c r="AE1076" t="s">
        <v>514</v>
      </c>
      <c r="AF1076" t="s">
        <v>100</v>
      </c>
      <c r="AG1076" t="s">
        <v>102</v>
      </c>
      <c r="AH1076" t="s">
        <v>102</v>
      </c>
      <c r="AI1076" t="s">
        <v>134</v>
      </c>
      <c r="AJ1076" t="s">
        <v>135</v>
      </c>
      <c r="AM1076" t="s">
        <v>136</v>
      </c>
      <c r="AN1076" t="s">
        <v>106</v>
      </c>
      <c r="AW1076" s="10" t="s">
        <v>108</v>
      </c>
      <c r="AX1076">
        <f t="shared" si="44"/>
        <v>20.5</v>
      </c>
      <c r="AY1076" s="10" t="s">
        <v>103</v>
      </c>
      <c r="AZ1076" s="10" t="s">
        <v>212</v>
      </c>
      <c r="BA1076" s="10" t="s">
        <v>142</v>
      </c>
      <c r="BB1076" s="10">
        <v>9</v>
      </c>
      <c r="BC1076" s="10">
        <v>20</v>
      </c>
      <c r="BE1076" s="10" t="s">
        <v>139</v>
      </c>
      <c r="BF1076">
        <f>(28+24)/2</f>
        <v>26</v>
      </c>
      <c r="BH1076">
        <f t="shared" si="45"/>
        <v>8.3333333333333339</v>
      </c>
      <c r="BI1076">
        <v>2</v>
      </c>
      <c r="BJ1076">
        <v>1</v>
      </c>
      <c r="BK1076">
        <f t="shared" si="46"/>
        <v>8</v>
      </c>
      <c r="BS1076" s="10" t="s">
        <v>515</v>
      </c>
      <c r="BT1076" t="s">
        <v>2296</v>
      </c>
      <c r="BU1076" t="s">
        <v>2273</v>
      </c>
      <c r="BV1076">
        <v>33.987868300000002</v>
      </c>
      <c r="BW1076" t="s">
        <v>454</v>
      </c>
      <c r="BX1076">
        <v>2</v>
      </c>
      <c r="BY1076">
        <v>34.994800699999999</v>
      </c>
      <c r="BZ1076" t="s">
        <v>454</v>
      </c>
      <c r="CA1076">
        <v>2</v>
      </c>
      <c r="CB1076" t="s">
        <v>215</v>
      </c>
      <c r="CC1076" t="s">
        <v>2272</v>
      </c>
    </row>
    <row r="1077" spans="1:81" x14ac:dyDescent="0.25">
      <c r="A1077" s="10" t="s">
        <v>81</v>
      </c>
      <c r="B1077">
        <v>1076</v>
      </c>
      <c r="C1077" s="10">
        <v>151</v>
      </c>
      <c r="D1077">
        <v>139</v>
      </c>
      <c r="E1077" s="10">
        <v>244</v>
      </c>
      <c r="F1077" s="10">
        <v>261</v>
      </c>
      <c r="G1077" s="10">
        <v>588</v>
      </c>
      <c r="H1077" s="10">
        <v>941</v>
      </c>
      <c r="I1077" s="10" t="s">
        <v>2194</v>
      </c>
      <c r="J1077" s="10" t="s">
        <v>424</v>
      </c>
      <c r="L1077" s="10" t="s">
        <v>2265</v>
      </c>
      <c r="M1077" s="10" t="s">
        <v>85</v>
      </c>
      <c r="O1077" s="10" t="s">
        <v>14</v>
      </c>
      <c r="P1077" s="10" t="s">
        <v>2255</v>
      </c>
      <c r="Q1077" s="10" t="s">
        <v>2256</v>
      </c>
      <c r="R1077" s="10">
        <v>1969</v>
      </c>
      <c r="S1077" s="10" t="s">
        <v>1859</v>
      </c>
      <c r="V1077" s="10" t="s">
        <v>2257</v>
      </c>
      <c r="W1077" t="s">
        <v>91</v>
      </c>
      <c r="X1077" t="s">
        <v>508</v>
      </c>
      <c r="Y1077" t="s">
        <v>509</v>
      </c>
      <c r="Z1077" t="s">
        <v>839</v>
      </c>
      <c r="AA1077" t="s">
        <v>2260</v>
      </c>
      <c r="AB1077" t="s">
        <v>2259</v>
      </c>
      <c r="AC1077" t="s">
        <v>2268</v>
      </c>
      <c r="AD1077" t="s">
        <v>132</v>
      </c>
      <c r="AE1077" t="s">
        <v>514</v>
      </c>
      <c r="AF1077" t="s">
        <v>100</v>
      </c>
      <c r="AG1077" t="s">
        <v>102</v>
      </c>
      <c r="AH1077" t="s">
        <v>102</v>
      </c>
      <c r="AI1077" t="s">
        <v>134</v>
      </c>
      <c r="AJ1077" t="s">
        <v>135</v>
      </c>
      <c r="AM1077" t="s">
        <v>136</v>
      </c>
      <c r="AN1077" t="s">
        <v>106</v>
      </c>
      <c r="AW1077" s="10" t="s">
        <v>108</v>
      </c>
      <c r="AX1077">
        <f t="shared" si="44"/>
        <v>20.5</v>
      </c>
      <c r="AY1077" s="10" t="s">
        <v>103</v>
      </c>
      <c r="AZ1077" s="10" t="s">
        <v>212</v>
      </c>
      <c r="BA1077" s="10" t="s">
        <v>142</v>
      </c>
      <c r="BB1077" s="10">
        <v>20</v>
      </c>
      <c r="BC1077" s="10">
        <v>27.5</v>
      </c>
      <c r="BE1077" s="10" t="s">
        <v>139</v>
      </c>
      <c r="BF1077">
        <f>(14+14)/2</f>
        <v>14</v>
      </c>
      <c r="BH1077">
        <f t="shared" si="45"/>
        <v>8.3333333333333339</v>
      </c>
      <c r="BI1077">
        <v>4</v>
      </c>
      <c r="BJ1077">
        <v>1</v>
      </c>
      <c r="BK1077">
        <f t="shared" si="46"/>
        <v>8</v>
      </c>
      <c r="BS1077" s="10"/>
      <c r="BT1077" t="s">
        <v>2296</v>
      </c>
      <c r="BU1077" t="s">
        <v>2271</v>
      </c>
      <c r="BV1077">
        <v>34.994800699999999</v>
      </c>
      <c r="BW1077" t="s">
        <v>454</v>
      </c>
      <c r="BX1077">
        <v>4</v>
      </c>
      <c r="BY1077">
        <v>36.098786799999999</v>
      </c>
      <c r="BZ1077" t="s">
        <v>454</v>
      </c>
      <c r="CA1077">
        <v>4</v>
      </c>
      <c r="CB1077" t="s">
        <v>215</v>
      </c>
      <c r="CC1077" t="s">
        <v>2272</v>
      </c>
    </row>
    <row r="1078" spans="1:81" x14ac:dyDescent="0.25">
      <c r="A1078" s="10" t="s">
        <v>81</v>
      </c>
      <c r="B1078">
        <v>1077</v>
      </c>
      <c r="C1078" s="10">
        <v>151</v>
      </c>
      <c r="D1078">
        <v>140</v>
      </c>
      <c r="E1078" s="10">
        <v>245</v>
      </c>
      <c r="F1078" s="10">
        <v>262</v>
      </c>
      <c r="G1078" s="10">
        <v>589</v>
      </c>
      <c r="H1078" s="10">
        <v>942</v>
      </c>
      <c r="I1078" s="10" t="s">
        <v>2194</v>
      </c>
      <c r="J1078" s="10" t="s">
        <v>413</v>
      </c>
      <c r="L1078" s="10" t="s">
        <v>2266</v>
      </c>
      <c r="M1078" s="10" t="s">
        <v>85</v>
      </c>
      <c r="O1078" s="10" t="s">
        <v>14</v>
      </c>
      <c r="P1078" s="10" t="s">
        <v>2255</v>
      </c>
      <c r="Q1078" s="10" t="s">
        <v>2256</v>
      </c>
      <c r="R1078" s="10">
        <v>1969</v>
      </c>
      <c r="S1078" s="10" t="s">
        <v>1859</v>
      </c>
      <c r="V1078" s="10" t="s">
        <v>2257</v>
      </c>
      <c r="W1078" t="s">
        <v>91</v>
      </c>
      <c r="X1078" t="s">
        <v>508</v>
      </c>
      <c r="Y1078" t="s">
        <v>509</v>
      </c>
      <c r="Z1078" t="s">
        <v>2264</v>
      </c>
      <c r="AA1078" t="s">
        <v>2261</v>
      </c>
      <c r="AB1078" t="s">
        <v>2262</v>
      </c>
      <c r="AC1078" t="s">
        <v>2269</v>
      </c>
      <c r="AD1078" t="s">
        <v>132</v>
      </c>
      <c r="AE1078" t="s">
        <v>514</v>
      </c>
      <c r="AF1078" t="s">
        <v>100</v>
      </c>
      <c r="AG1078" t="s">
        <v>102</v>
      </c>
      <c r="AH1078" t="s">
        <v>102</v>
      </c>
      <c r="AI1078" t="s">
        <v>134</v>
      </c>
      <c r="AJ1078" t="s">
        <v>135</v>
      </c>
      <c r="AM1078" t="s">
        <v>136</v>
      </c>
      <c r="AN1078" t="s">
        <v>106</v>
      </c>
      <c r="AW1078" s="10" t="s">
        <v>108</v>
      </c>
      <c r="AX1078">
        <f t="shared" si="44"/>
        <v>20.5</v>
      </c>
      <c r="AY1078" s="10" t="s">
        <v>103</v>
      </c>
      <c r="AZ1078" s="10" t="s">
        <v>212</v>
      </c>
      <c r="BA1078" s="10" t="s">
        <v>142</v>
      </c>
      <c r="BB1078" s="10">
        <v>15</v>
      </c>
      <c r="BC1078" s="10">
        <v>18</v>
      </c>
      <c r="BE1078" s="10" t="s">
        <v>139</v>
      </c>
      <c r="BF1078">
        <f>(6+7)/2</f>
        <v>6.5</v>
      </c>
      <c r="BH1078">
        <f t="shared" si="45"/>
        <v>8.3333333333333339</v>
      </c>
      <c r="BI1078">
        <v>4</v>
      </c>
      <c r="BJ1078">
        <v>1</v>
      </c>
      <c r="BK1078">
        <f t="shared" si="46"/>
        <v>8</v>
      </c>
      <c r="BS1078" s="10" t="s">
        <v>515</v>
      </c>
      <c r="BT1078" t="s">
        <v>2296</v>
      </c>
      <c r="BU1078" t="s">
        <v>2273</v>
      </c>
      <c r="BV1078">
        <v>37.497005999999999</v>
      </c>
      <c r="BW1078" t="s">
        <v>454</v>
      </c>
      <c r="BX1078">
        <v>4</v>
      </c>
      <c r="BY1078">
        <v>39.293413200000003</v>
      </c>
      <c r="BZ1078" t="s">
        <v>454</v>
      </c>
      <c r="CA1078">
        <v>4</v>
      </c>
      <c r="CB1078" t="s">
        <v>215</v>
      </c>
      <c r="CC1078" t="s">
        <v>2272</v>
      </c>
    </row>
    <row r="1079" spans="1:81" x14ac:dyDescent="0.25">
      <c r="A1079" s="10" t="s">
        <v>81</v>
      </c>
      <c r="B1079">
        <v>1078</v>
      </c>
      <c r="C1079" s="10">
        <v>151</v>
      </c>
      <c r="D1079">
        <v>140</v>
      </c>
      <c r="E1079" s="10">
        <v>245</v>
      </c>
      <c r="F1079" s="10">
        <v>262</v>
      </c>
      <c r="G1079" s="10">
        <v>589</v>
      </c>
      <c r="H1079" s="10">
        <v>943</v>
      </c>
      <c r="I1079" s="10" t="s">
        <v>2194</v>
      </c>
      <c r="J1079" s="10" t="s">
        <v>413</v>
      </c>
      <c r="L1079" s="10" t="s">
        <v>2266</v>
      </c>
      <c r="M1079" s="10" t="s">
        <v>85</v>
      </c>
      <c r="O1079" s="10" t="s">
        <v>14</v>
      </c>
      <c r="P1079" s="10" t="s">
        <v>2255</v>
      </c>
      <c r="Q1079" s="10" t="s">
        <v>2256</v>
      </c>
      <c r="R1079" s="10">
        <v>1969</v>
      </c>
      <c r="S1079" s="10" t="s">
        <v>1859</v>
      </c>
      <c r="V1079" s="10" t="s">
        <v>2257</v>
      </c>
      <c r="W1079" t="s">
        <v>91</v>
      </c>
      <c r="X1079" t="s">
        <v>508</v>
      </c>
      <c r="Y1079" t="s">
        <v>509</v>
      </c>
      <c r="Z1079" t="s">
        <v>2264</v>
      </c>
      <c r="AA1079" t="s">
        <v>2261</v>
      </c>
      <c r="AB1079" t="s">
        <v>2262</v>
      </c>
      <c r="AC1079" t="s">
        <v>2269</v>
      </c>
      <c r="AD1079" t="s">
        <v>132</v>
      </c>
      <c r="AE1079" t="s">
        <v>514</v>
      </c>
      <c r="AF1079" t="s">
        <v>100</v>
      </c>
      <c r="AG1079" t="s">
        <v>102</v>
      </c>
      <c r="AH1079" t="s">
        <v>102</v>
      </c>
      <c r="AI1079" t="s">
        <v>134</v>
      </c>
      <c r="AJ1079" t="s">
        <v>135</v>
      </c>
      <c r="AM1079" t="s">
        <v>136</v>
      </c>
      <c r="AN1079" t="s">
        <v>106</v>
      </c>
      <c r="AW1079" s="10" t="s">
        <v>108</v>
      </c>
      <c r="AX1079">
        <f t="shared" si="44"/>
        <v>20.5</v>
      </c>
      <c r="AY1079" s="10" t="s">
        <v>103</v>
      </c>
      <c r="AZ1079" s="10" t="s">
        <v>212</v>
      </c>
      <c r="BA1079" s="10" t="s">
        <v>142</v>
      </c>
      <c r="BB1079" s="10">
        <v>18</v>
      </c>
      <c r="BC1079" s="10">
        <v>25</v>
      </c>
      <c r="BE1079" s="10" t="s">
        <v>139</v>
      </c>
      <c r="BF1079">
        <f>(7+4)/2</f>
        <v>5.5</v>
      </c>
      <c r="BH1079">
        <f t="shared" si="45"/>
        <v>8.3333333333333339</v>
      </c>
      <c r="BI1079">
        <v>4</v>
      </c>
      <c r="BJ1079">
        <v>1</v>
      </c>
      <c r="BK1079">
        <f t="shared" si="46"/>
        <v>8</v>
      </c>
      <c r="BS1079" s="10" t="s">
        <v>515</v>
      </c>
      <c r="BT1079" t="s">
        <v>2296</v>
      </c>
      <c r="BU1079" t="s">
        <v>2273</v>
      </c>
      <c r="BV1079">
        <v>39.293413200000003</v>
      </c>
      <c r="BW1079" t="s">
        <v>454</v>
      </c>
      <c r="BX1079">
        <v>4</v>
      </c>
      <c r="BY1079">
        <v>40.191616799999998</v>
      </c>
      <c r="BZ1079" t="s">
        <v>454</v>
      </c>
      <c r="CA1079">
        <v>4</v>
      </c>
      <c r="CB1079" t="s">
        <v>215</v>
      </c>
      <c r="CC1079" t="s">
        <v>2272</v>
      </c>
    </row>
    <row r="1080" spans="1:81" x14ac:dyDescent="0.25">
      <c r="A1080" s="10" t="s">
        <v>81</v>
      </c>
      <c r="B1080">
        <v>1079</v>
      </c>
      <c r="C1080" s="10">
        <v>151</v>
      </c>
      <c r="D1080">
        <v>140</v>
      </c>
      <c r="E1080" s="10">
        <v>245</v>
      </c>
      <c r="F1080" s="10">
        <v>262</v>
      </c>
      <c r="G1080" s="10">
        <v>589</v>
      </c>
      <c r="H1080" s="10">
        <v>944</v>
      </c>
      <c r="I1080" s="10" t="s">
        <v>2194</v>
      </c>
      <c r="J1080" s="10" t="s">
        <v>413</v>
      </c>
      <c r="L1080" s="10" t="s">
        <v>2266</v>
      </c>
      <c r="M1080" s="10" t="s">
        <v>85</v>
      </c>
      <c r="O1080" s="10" t="s">
        <v>14</v>
      </c>
      <c r="P1080" s="10" t="s">
        <v>2255</v>
      </c>
      <c r="Q1080" s="10" t="s">
        <v>2256</v>
      </c>
      <c r="R1080" s="10">
        <v>1969</v>
      </c>
      <c r="S1080" s="10" t="s">
        <v>1859</v>
      </c>
      <c r="V1080" s="10" t="s">
        <v>2257</v>
      </c>
      <c r="W1080" t="s">
        <v>91</v>
      </c>
      <c r="X1080" t="s">
        <v>508</v>
      </c>
      <c r="Y1080" t="s">
        <v>509</v>
      </c>
      <c r="Z1080" t="s">
        <v>2264</v>
      </c>
      <c r="AA1080" t="s">
        <v>2261</v>
      </c>
      <c r="AB1080" t="s">
        <v>2262</v>
      </c>
      <c r="AC1080" t="s">
        <v>2269</v>
      </c>
      <c r="AD1080" t="s">
        <v>132</v>
      </c>
      <c r="AE1080" t="s">
        <v>514</v>
      </c>
      <c r="AF1080" t="s">
        <v>100</v>
      </c>
      <c r="AG1080" t="s">
        <v>102</v>
      </c>
      <c r="AH1080" t="s">
        <v>102</v>
      </c>
      <c r="AI1080" t="s">
        <v>134</v>
      </c>
      <c r="AJ1080" t="s">
        <v>135</v>
      </c>
      <c r="AM1080" t="s">
        <v>136</v>
      </c>
      <c r="AN1080" t="s">
        <v>106</v>
      </c>
      <c r="AW1080" s="10" t="s">
        <v>108</v>
      </c>
      <c r="AX1080">
        <f t="shared" si="44"/>
        <v>20.5</v>
      </c>
      <c r="AY1080" s="10" t="s">
        <v>103</v>
      </c>
      <c r="AZ1080" s="10" t="s">
        <v>212</v>
      </c>
      <c r="BA1080" s="10" t="s">
        <v>142</v>
      </c>
      <c r="BB1080" s="10">
        <v>25</v>
      </c>
      <c r="BC1080" s="10">
        <v>30</v>
      </c>
      <c r="BE1080" s="10" t="s">
        <v>139</v>
      </c>
      <c r="BF1080">
        <f>(4+6)/2</f>
        <v>5</v>
      </c>
      <c r="BH1080">
        <f t="shared" si="45"/>
        <v>8.3333333333333339</v>
      </c>
      <c r="BI1080">
        <v>4</v>
      </c>
      <c r="BJ1080">
        <v>1</v>
      </c>
      <c r="BK1080">
        <f t="shared" si="46"/>
        <v>8</v>
      </c>
      <c r="BS1080" s="10" t="s">
        <v>515</v>
      </c>
      <c r="BT1080" t="s">
        <v>2296</v>
      </c>
      <c r="BU1080" t="s">
        <v>2273</v>
      </c>
      <c r="BV1080">
        <v>40.191616799999998</v>
      </c>
      <c r="BW1080" t="s">
        <v>454</v>
      </c>
      <c r="BX1080">
        <v>4</v>
      </c>
      <c r="BY1080">
        <v>41.309381199999997</v>
      </c>
      <c r="BZ1080" t="s">
        <v>454</v>
      </c>
      <c r="CA1080">
        <v>4</v>
      </c>
      <c r="CB1080" t="s">
        <v>215</v>
      </c>
      <c r="CC1080" t="s">
        <v>2272</v>
      </c>
    </row>
    <row r="1081" spans="1:81" x14ac:dyDescent="0.25">
      <c r="A1081" s="10" t="s">
        <v>81</v>
      </c>
      <c r="B1081">
        <v>1080</v>
      </c>
      <c r="C1081" s="10">
        <v>151</v>
      </c>
      <c r="D1081">
        <v>140</v>
      </c>
      <c r="E1081" s="10">
        <v>245</v>
      </c>
      <c r="F1081" s="10">
        <v>262</v>
      </c>
      <c r="G1081" s="10">
        <v>589</v>
      </c>
      <c r="H1081" s="10">
        <v>945</v>
      </c>
      <c r="I1081" s="10" t="s">
        <v>2194</v>
      </c>
      <c r="J1081" s="10" t="s">
        <v>413</v>
      </c>
      <c r="L1081" s="10" t="s">
        <v>2266</v>
      </c>
      <c r="M1081" s="10" t="s">
        <v>85</v>
      </c>
      <c r="O1081" s="10" t="s">
        <v>14</v>
      </c>
      <c r="P1081" s="10" t="s">
        <v>2255</v>
      </c>
      <c r="Q1081" s="10" t="s">
        <v>2256</v>
      </c>
      <c r="R1081" s="10">
        <v>1969</v>
      </c>
      <c r="S1081" s="10" t="s">
        <v>1859</v>
      </c>
      <c r="V1081" s="10" t="s">
        <v>2257</v>
      </c>
      <c r="W1081" t="s">
        <v>91</v>
      </c>
      <c r="X1081" t="s">
        <v>508</v>
      </c>
      <c r="Y1081" t="s">
        <v>509</v>
      </c>
      <c r="Z1081" t="s">
        <v>2264</v>
      </c>
      <c r="AA1081" t="s">
        <v>2261</v>
      </c>
      <c r="AB1081" t="s">
        <v>2262</v>
      </c>
      <c r="AC1081" t="s">
        <v>2269</v>
      </c>
      <c r="AD1081" t="s">
        <v>132</v>
      </c>
      <c r="AE1081" t="s">
        <v>514</v>
      </c>
      <c r="AF1081" t="s">
        <v>100</v>
      </c>
      <c r="AG1081" t="s">
        <v>102</v>
      </c>
      <c r="AH1081" t="s">
        <v>102</v>
      </c>
      <c r="AI1081" t="s">
        <v>134</v>
      </c>
      <c r="AJ1081" t="s">
        <v>135</v>
      </c>
      <c r="AM1081" t="s">
        <v>136</v>
      </c>
      <c r="AN1081" t="s">
        <v>106</v>
      </c>
      <c r="AW1081" s="10" t="s">
        <v>108</v>
      </c>
      <c r="AX1081">
        <f t="shared" si="44"/>
        <v>20.5</v>
      </c>
      <c r="AY1081" s="10" t="s">
        <v>103</v>
      </c>
      <c r="AZ1081" s="10" t="s">
        <v>212</v>
      </c>
      <c r="BA1081" s="10" t="s">
        <v>142</v>
      </c>
      <c r="BB1081" s="10">
        <v>30</v>
      </c>
      <c r="BC1081" s="10">
        <v>35</v>
      </c>
      <c r="BE1081" s="10" t="s">
        <v>139</v>
      </c>
      <c r="BF1081">
        <f>(6+3)/2</f>
        <v>4.5</v>
      </c>
      <c r="BH1081">
        <f t="shared" si="45"/>
        <v>8.3333333333333339</v>
      </c>
      <c r="BI1081">
        <v>4</v>
      </c>
      <c r="BJ1081">
        <v>1</v>
      </c>
      <c r="BK1081">
        <f t="shared" si="46"/>
        <v>8</v>
      </c>
      <c r="BS1081" s="10" t="s">
        <v>515</v>
      </c>
      <c r="BT1081" t="s">
        <v>2296</v>
      </c>
      <c r="BU1081" t="s">
        <v>2273</v>
      </c>
      <c r="BV1081">
        <v>41.309381199999997</v>
      </c>
      <c r="BW1081" t="s">
        <v>454</v>
      </c>
      <c r="BX1081">
        <v>4</v>
      </c>
      <c r="BY1081">
        <v>41.119760499999998</v>
      </c>
      <c r="BZ1081" t="s">
        <v>454</v>
      </c>
      <c r="CA1081">
        <v>4</v>
      </c>
      <c r="CB1081" t="s">
        <v>215</v>
      </c>
      <c r="CC1081" t="s">
        <v>2272</v>
      </c>
    </row>
    <row r="1082" spans="1:81" x14ac:dyDescent="0.25">
      <c r="A1082" s="10" t="s">
        <v>81</v>
      </c>
      <c r="B1082">
        <v>1081</v>
      </c>
      <c r="C1082" s="10">
        <v>151</v>
      </c>
      <c r="D1082">
        <v>141</v>
      </c>
      <c r="E1082" s="10">
        <v>246</v>
      </c>
      <c r="F1082" s="10">
        <v>263</v>
      </c>
      <c r="G1082" s="10">
        <v>590</v>
      </c>
      <c r="H1082" s="10">
        <v>946</v>
      </c>
      <c r="I1082" s="10" t="s">
        <v>2194</v>
      </c>
      <c r="J1082" s="10" t="s">
        <v>413</v>
      </c>
      <c r="L1082" s="10" t="s">
        <v>2266</v>
      </c>
      <c r="M1082" s="10" t="s">
        <v>85</v>
      </c>
      <c r="O1082" s="10" t="s">
        <v>14</v>
      </c>
      <c r="P1082" s="10" t="s">
        <v>2255</v>
      </c>
      <c r="Q1082" s="10" t="s">
        <v>2256</v>
      </c>
      <c r="R1082" s="10">
        <v>1969</v>
      </c>
      <c r="S1082" s="10" t="s">
        <v>1859</v>
      </c>
      <c r="V1082" s="10" t="s">
        <v>2257</v>
      </c>
      <c r="W1082" t="s">
        <v>91</v>
      </c>
      <c r="X1082" t="s">
        <v>508</v>
      </c>
      <c r="Y1082" t="s">
        <v>509</v>
      </c>
      <c r="Z1082" t="s">
        <v>2264</v>
      </c>
      <c r="AA1082" t="s">
        <v>2261</v>
      </c>
      <c r="AB1082" t="s">
        <v>2263</v>
      </c>
      <c r="AC1082" t="s">
        <v>2270</v>
      </c>
      <c r="AD1082" t="s">
        <v>132</v>
      </c>
      <c r="AE1082" t="s">
        <v>514</v>
      </c>
      <c r="AF1082" t="s">
        <v>100</v>
      </c>
      <c r="AG1082" t="s">
        <v>102</v>
      </c>
      <c r="AH1082" t="s">
        <v>102</v>
      </c>
      <c r="AI1082" t="s">
        <v>134</v>
      </c>
      <c r="AJ1082" t="s">
        <v>135</v>
      </c>
      <c r="AM1082" t="s">
        <v>136</v>
      </c>
      <c r="AN1082" t="s">
        <v>106</v>
      </c>
      <c r="AW1082" s="10" t="s">
        <v>108</v>
      </c>
      <c r="AX1082">
        <f t="shared" si="44"/>
        <v>20.5</v>
      </c>
      <c r="AY1082" s="10" t="s">
        <v>103</v>
      </c>
      <c r="AZ1082" s="10" t="s">
        <v>212</v>
      </c>
      <c r="BA1082" s="10" t="s">
        <v>142</v>
      </c>
      <c r="BB1082" s="10">
        <v>9.4</v>
      </c>
      <c r="BC1082" s="10">
        <v>18.399999999999999</v>
      </c>
      <c r="BE1082" s="10" t="s">
        <v>139</v>
      </c>
      <c r="BF1082">
        <f>(5+17)/2</f>
        <v>11</v>
      </c>
      <c r="BH1082">
        <f t="shared" si="45"/>
        <v>8.3333333333333339</v>
      </c>
      <c r="BI1082">
        <v>3</v>
      </c>
      <c r="BJ1082">
        <v>1</v>
      </c>
      <c r="BK1082">
        <f t="shared" si="46"/>
        <v>8</v>
      </c>
      <c r="BS1082" s="10" t="s">
        <v>515</v>
      </c>
      <c r="BT1082" t="s">
        <v>2296</v>
      </c>
      <c r="BU1082" t="s">
        <v>2273</v>
      </c>
      <c r="BV1082">
        <v>36.009979999999999</v>
      </c>
      <c r="BW1082" t="s">
        <v>454</v>
      </c>
      <c r="BX1082">
        <v>3</v>
      </c>
      <c r="BY1082">
        <v>36.489021999999999</v>
      </c>
      <c r="BZ1082" t="s">
        <v>454</v>
      </c>
      <c r="CA1082">
        <v>3</v>
      </c>
      <c r="CB1082" t="s">
        <v>215</v>
      </c>
      <c r="CC1082" t="s">
        <v>2272</v>
      </c>
    </row>
    <row r="1083" spans="1:81" x14ac:dyDescent="0.25">
      <c r="A1083" s="10" t="s">
        <v>81</v>
      </c>
      <c r="B1083">
        <v>1082</v>
      </c>
      <c r="C1083" s="10">
        <v>151</v>
      </c>
      <c r="D1083">
        <v>141</v>
      </c>
      <c r="E1083" s="10">
        <v>246</v>
      </c>
      <c r="F1083" s="10">
        <v>263</v>
      </c>
      <c r="G1083" s="10">
        <v>590</v>
      </c>
      <c r="H1083" s="10">
        <v>947</v>
      </c>
      <c r="I1083" s="10" t="s">
        <v>2194</v>
      </c>
      <c r="J1083" s="10" t="s">
        <v>413</v>
      </c>
      <c r="L1083" s="10" t="s">
        <v>2266</v>
      </c>
      <c r="M1083" s="10" t="s">
        <v>85</v>
      </c>
      <c r="O1083" s="10" t="s">
        <v>14</v>
      </c>
      <c r="P1083" s="10" t="s">
        <v>2255</v>
      </c>
      <c r="Q1083" s="10" t="s">
        <v>2256</v>
      </c>
      <c r="R1083" s="10">
        <v>1969</v>
      </c>
      <c r="S1083" s="10" t="s">
        <v>1859</v>
      </c>
      <c r="V1083" s="10" t="s">
        <v>2257</v>
      </c>
      <c r="W1083" t="s">
        <v>91</v>
      </c>
      <c r="X1083" t="s">
        <v>508</v>
      </c>
      <c r="Y1083" t="s">
        <v>509</v>
      </c>
      <c r="Z1083" t="s">
        <v>2264</v>
      </c>
      <c r="AA1083" t="s">
        <v>2261</v>
      </c>
      <c r="AB1083" t="s">
        <v>2263</v>
      </c>
      <c r="AC1083" t="s">
        <v>2270</v>
      </c>
      <c r="AD1083" t="s">
        <v>132</v>
      </c>
      <c r="AE1083" t="s">
        <v>514</v>
      </c>
      <c r="AF1083" t="s">
        <v>100</v>
      </c>
      <c r="AG1083" t="s">
        <v>102</v>
      </c>
      <c r="AH1083" t="s">
        <v>102</v>
      </c>
      <c r="AI1083" t="s">
        <v>134</v>
      </c>
      <c r="AJ1083" t="s">
        <v>135</v>
      </c>
      <c r="AM1083" t="s">
        <v>136</v>
      </c>
      <c r="AN1083" t="s">
        <v>106</v>
      </c>
      <c r="AW1083" s="10" t="s">
        <v>108</v>
      </c>
      <c r="AX1083">
        <f t="shared" si="44"/>
        <v>20.5</v>
      </c>
      <c r="AY1083" s="10" t="s">
        <v>103</v>
      </c>
      <c r="AZ1083" s="10" t="s">
        <v>212</v>
      </c>
      <c r="BA1083" s="10" t="s">
        <v>142</v>
      </c>
      <c r="BB1083" s="10">
        <v>18.399999999999999</v>
      </c>
      <c r="BC1083" s="10">
        <v>21.5</v>
      </c>
      <c r="BE1083" s="10" t="s">
        <v>139</v>
      </c>
      <c r="BF1083">
        <f>(17+7)/2</f>
        <v>12</v>
      </c>
      <c r="BH1083">
        <f t="shared" si="45"/>
        <v>8.3333333333333339</v>
      </c>
      <c r="BI1083">
        <v>4</v>
      </c>
      <c r="BJ1083">
        <v>1</v>
      </c>
      <c r="BK1083">
        <f t="shared" si="46"/>
        <v>8</v>
      </c>
      <c r="BS1083" s="10" t="s">
        <v>515</v>
      </c>
      <c r="BT1083" t="s">
        <v>2296</v>
      </c>
      <c r="BU1083" t="s">
        <v>2273</v>
      </c>
      <c r="BV1083">
        <v>36.489021999999999</v>
      </c>
      <c r="BW1083" t="s">
        <v>454</v>
      </c>
      <c r="BX1083">
        <v>4</v>
      </c>
      <c r="BY1083">
        <v>37.506985999999998</v>
      </c>
      <c r="BZ1083" t="s">
        <v>454</v>
      </c>
      <c r="CA1083">
        <v>4</v>
      </c>
      <c r="CB1083" t="s">
        <v>215</v>
      </c>
      <c r="CC1083" t="s">
        <v>2272</v>
      </c>
    </row>
    <row r="1084" spans="1:81" x14ac:dyDescent="0.25">
      <c r="A1084" s="10" t="s">
        <v>81</v>
      </c>
      <c r="B1084">
        <v>1083</v>
      </c>
      <c r="C1084" s="10">
        <v>151</v>
      </c>
      <c r="D1084">
        <v>141</v>
      </c>
      <c r="E1084" s="10">
        <v>246</v>
      </c>
      <c r="F1084" s="10">
        <v>263</v>
      </c>
      <c r="G1084" s="10">
        <v>590</v>
      </c>
      <c r="H1084" s="10">
        <v>948</v>
      </c>
      <c r="I1084" s="10" t="s">
        <v>2194</v>
      </c>
      <c r="J1084" s="10" t="s">
        <v>413</v>
      </c>
      <c r="L1084" s="10" t="s">
        <v>2266</v>
      </c>
      <c r="M1084" s="10" t="s">
        <v>85</v>
      </c>
      <c r="O1084" s="10" t="s">
        <v>14</v>
      </c>
      <c r="P1084" s="10" t="s">
        <v>2255</v>
      </c>
      <c r="Q1084" s="10" t="s">
        <v>2256</v>
      </c>
      <c r="R1084" s="10">
        <v>1969</v>
      </c>
      <c r="S1084" s="10" t="s">
        <v>1859</v>
      </c>
      <c r="V1084" s="10" t="s">
        <v>2257</v>
      </c>
      <c r="W1084" t="s">
        <v>91</v>
      </c>
      <c r="X1084" t="s">
        <v>508</v>
      </c>
      <c r="Y1084" t="s">
        <v>509</v>
      </c>
      <c r="Z1084" t="s">
        <v>2264</v>
      </c>
      <c r="AA1084" t="s">
        <v>2261</v>
      </c>
      <c r="AB1084" t="s">
        <v>2263</v>
      </c>
      <c r="AC1084" t="s">
        <v>2270</v>
      </c>
      <c r="AD1084" t="s">
        <v>132</v>
      </c>
      <c r="AE1084" t="s">
        <v>514</v>
      </c>
      <c r="AF1084" t="s">
        <v>100</v>
      </c>
      <c r="AG1084" t="s">
        <v>102</v>
      </c>
      <c r="AH1084" t="s">
        <v>102</v>
      </c>
      <c r="AI1084" t="s">
        <v>134</v>
      </c>
      <c r="AJ1084" t="s">
        <v>135</v>
      </c>
      <c r="AM1084" t="s">
        <v>136</v>
      </c>
      <c r="AN1084" t="s">
        <v>106</v>
      </c>
      <c r="AW1084" s="10" t="s">
        <v>108</v>
      </c>
      <c r="AX1084">
        <f t="shared" si="44"/>
        <v>20.5</v>
      </c>
      <c r="AY1084" s="10" t="s">
        <v>103</v>
      </c>
      <c r="AZ1084" s="10" t="s">
        <v>212</v>
      </c>
      <c r="BA1084" s="10" t="s">
        <v>142</v>
      </c>
      <c r="BB1084" s="10">
        <v>21.5</v>
      </c>
      <c r="BC1084" s="10">
        <v>26.4</v>
      </c>
      <c r="BE1084" s="10" t="s">
        <v>139</v>
      </c>
      <c r="BF1084">
        <f>(7+9)/2</f>
        <v>8</v>
      </c>
      <c r="BH1084">
        <f t="shared" si="45"/>
        <v>8.3333333333333339</v>
      </c>
      <c r="BI1084">
        <v>4</v>
      </c>
      <c r="BJ1084">
        <v>1</v>
      </c>
      <c r="BK1084">
        <f t="shared" si="46"/>
        <v>8</v>
      </c>
      <c r="BS1084" s="10" t="s">
        <v>515</v>
      </c>
      <c r="BT1084" t="s">
        <v>2296</v>
      </c>
      <c r="BU1084" t="s">
        <v>2273</v>
      </c>
      <c r="BV1084">
        <v>37.506985999999998</v>
      </c>
      <c r="BW1084" t="s">
        <v>454</v>
      </c>
      <c r="BX1084">
        <v>4</v>
      </c>
      <c r="BY1084">
        <v>38.914171699999997</v>
      </c>
      <c r="BZ1084" t="s">
        <v>454</v>
      </c>
      <c r="CA1084">
        <v>4</v>
      </c>
      <c r="CB1084" t="s">
        <v>215</v>
      </c>
      <c r="CC1084" t="s">
        <v>2272</v>
      </c>
    </row>
    <row r="1085" spans="1:81" x14ac:dyDescent="0.25">
      <c r="A1085" s="10" t="s">
        <v>81</v>
      </c>
      <c r="B1085">
        <v>1084</v>
      </c>
      <c r="C1085" s="10">
        <v>151</v>
      </c>
      <c r="D1085">
        <v>141</v>
      </c>
      <c r="E1085" s="10">
        <v>246</v>
      </c>
      <c r="F1085" s="10">
        <v>263</v>
      </c>
      <c r="G1085" s="10">
        <v>590</v>
      </c>
      <c r="H1085" s="10">
        <v>949</v>
      </c>
      <c r="I1085" s="10" t="s">
        <v>2194</v>
      </c>
      <c r="J1085" s="10" t="s">
        <v>413</v>
      </c>
      <c r="L1085" s="10" t="s">
        <v>2266</v>
      </c>
      <c r="M1085" s="10" t="s">
        <v>85</v>
      </c>
      <c r="O1085" s="10" t="s">
        <v>14</v>
      </c>
      <c r="P1085" s="10" t="s">
        <v>2255</v>
      </c>
      <c r="Q1085" s="10" t="s">
        <v>2256</v>
      </c>
      <c r="R1085" s="10">
        <v>1969</v>
      </c>
      <c r="S1085" s="10" t="s">
        <v>1859</v>
      </c>
      <c r="V1085" s="10" t="s">
        <v>2257</v>
      </c>
      <c r="W1085" t="s">
        <v>91</v>
      </c>
      <c r="X1085" t="s">
        <v>508</v>
      </c>
      <c r="Y1085" t="s">
        <v>509</v>
      </c>
      <c r="Z1085" t="s">
        <v>2264</v>
      </c>
      <c r="AA1085" t="s">
        <v>2261</v>
      </c>
      <c r="AB1085" t="s">
        <v>2263</v>
      </c>
      <c r="AC1085" t="s">
        <v>2270</v>
      </c>
      <c r="AD1085" t="s">
        <v>132</v>
      </c>
      <c r="AE1085" t="s">
        <v>514</v>
      </c>
      <c r="AF1085" t="s">
        <v>100</v>
      </c>
      <c r="AG1085" t="s">
        <v>102</v>
      </c>
      <c r="AH1085" t="s">
        <v>102</v>
      </c>
      <c r="AI1085" t="s">
        <v>134</v>
      </c>
      <c r="AJ1085" t="s">
        <v>135</v>
      </c>
      <c r="AM1085" t="s">
        <v>136</v>
      </c>
      <c r="AN1085" t="s">
        <v>106</v>
      </c>
      <c r="AW1085" s="10" t="s">
        <v>108</v>
      </c>
      <c r="AX1085">
        <f t="shared" si="44"/>
        <v>20.5</v>
      </c>
      <c r="AY1085" s="10" t="s">
        <v>103</v>
      </c>
      <c r="AZ1085" s="10" t="s">
        <v>212</v>
      </c>
      <c r="BA1085" s="10" t="s">
        <v>142</v>
      </c>
      <c r="BB1085" s="10">
        <v>26.4</v>
      </c>
      <c r="BC1085" s="10">
        <v>26.7</v>
      </c>
      <c r="BE1085" s="10" t="s">
        <v>139</v>
      </c>
      <c r="BF1085">
        <f>(9+5)/2</f>
        <v>7</v>
      </c>
      <c r="BH1085">
        <f t="shared" si="45"/>
        <v>8.3333333333333339</v>
      </c>
      <c r="BI1085">
        <v>2</v>
      </c>
      <c r="BJ1085">
        <v>1</v>
      </c>
      <c r="BK1085">
        <f t="shared" si="46"/>
        <v>8</v>
      </c>
      <c r="BS1085" s="10" t="s">
        <v>515</v>
      </c>
      <c r="BT1085" t="s">
        <v>2296</v>
      </c>
      <c r="BU1085" t="s">
        <v>2273</v>
      </c>
      <c r="BV1085">
        <v>38.914171699999997</v>
      </c>
      <c r="BW1085" t="s">
        <v>454</v>
      </c>
      <c r="BX1085">
        <v>2</v>
      </c>
      <c r="BY1085">
        <v>38.514970099999999</v>
      </c>
      <c r="BZ1085" t="s">
        <v>454</v>
      </c>
      <c r="CA1085">
        <v>2</v>
      </c>
      <c r="CB1085" t="s">
        <v>215</v>
      </c>
      <c r="CC1085" t="s">
        <v>2272</v>
      </c>
    </row>
    <row r="1086" spans="1:81" x14ac:dyDescent="0.25">
      <c r="A1086" s="10" t="s">
        <v>81</v>
      </c>
      <c r="B1086">
        <v>1085</v>
      </c>
      <c r="C1086" s="10">
        <v>151</v>
      </c>
      <c r="D1086">
        <v>141</v>
      </c>
      <c r="E1086" s="10">
        <v>246</v>
      </c>
      <c r="F1086" s="10">
        <v>263</v>
      </c>
      <c r="G1086" s="10">
        <v>590</v>
      </c>
      <c r="H1086" s="10">
        <v>950</v>
      </c>
      <c r="I1086" s="10" t="s">
        <v>2194</v>
      </c>
      <c r="J1086" s="10" t="s">
        <v>413</v>
      </c>
      <c r="L1086" s="10" t="s">
        <v>2266</v>
      </c>
      <c r="M1086" s="10" t="s">
        <v>85</v>
      </c>
      <c r="O1086" s="10" t="s">
        <v>14</v>
      </c>
      <c r="P1086" s="10" t="s">
        <v>2255</v>
      </c>
      <c r="Q1086" s="10" t="s">
        <v>2256</v>
      </c>
      <c r="R1086" s="10">
        <v>1969</v>
      </c>
      <c r="S1086" s="10" t="s">
        <v>1859</v>
      </c>
      <c r="V1086" s="10" t="s">
        <v>2257</v>
      </c>
      <c r="W1086" t="s">
        <v>91</v>
      </c>
      <c r="X1086" t="s">
        <v>508</v>
      </c>
      <c r="Y1086" t="s">
        <v>509</v>
      </c>
      <c r="Z1086" t="s">
        <v>2264</v>
      </c>
      <c r="AA1086" t="s">
        <v>2261</v>
      </c>
      <c r="AB1086" t="s">
        <v>2263</v>
      </c>
      <c r="AC1086" t="s">
        <v>2270</v>
      </c>
      <c r="AD1086" t="s">
        <v>132</v>
      </c>
      <c r="AE1086" t="s">
        <v>514</v>
      </c>
      <c r="AF1086" t="s">
        <v>100</v>
      </c>
      <c r="AG1086" t="s">
        <v>102</v>
      </c>
      <c r="AH1086" t="s">
        <v>102</v>
      </c>
      <c r="AI1086" t="s">
        <v>134</v>
      </c>
      <c r="AJ1086" t="s">
        <v>135</v>
      </c>
      <c r="AM1086" t="s">
        <v>136</v>
      </c>
      <c r="AN1086" t="s">
        <v>106</v>
      </c>
      <c r="AW1086" s="10" t="s">
        <v>108</v>
      </c>
      <c r="AX1086">
        <f t="shared" si="44"/>
        <v>20.5</v>
      </c>
      <c r="AY1086" s="10" t="s">
        <v>103</v>
      </c>
      <c r="AZ1086" s="10" t="s">
        <v>212</v>
      </c>
      <c r="BA1086" s="10" t="s">
        <v>142</v>
      </c>
      <c r="BB1086" s="10">
        <v>26.7</v>
      </c>
      <c r="BC1086" s="10">
        <v>32.5</v>
      </c>
      <c r="BE1086" s="10" t="s">
        <v>139</v>
      </c>
      <c r="BF1086">
        <f>(5+7)/2</f>
        <v>6</v>
      </c>
      <c r="BH1086">
        <f t="shared" si="45"/>
        <v>8.3333333333333339</v>
      </c>
      <c r="BI1086">
        <v>2</v>
      </c>
      <c r="BJ1086">
        <v>1</v>
      </c>
      <c r="BK1086">
        <f t="shared" si="46"/>
        <v>8</v>
      </c>
      <c r="BS1086" s="10" t="s">
        <v>515</v>
      </c>
      <c r="BT1086" t="s">
        <v>2296</v>
      </c>
      <c r="BU1086" t="s">
        <v>2273</v>
      </c>
      <c r="BV1086">
        <v>38.514970099999999</v>
      </c>
      <c r="BW1086" t="s">
        <v>454</v>
      </c>
      <c r="BX1086">
        <v>2</v>
      </c>
      <c r="BY1086">
        <v>40.600798400000002</v>
      </c>
      <c r="BZ1086" t="s">
        <v>454</v>
      </c>
      <c r="CA1086">
        <v>2</v>
      </c>
      <c r="CB1086" t="s">
        <v>215</v>
      </c>
      <c r="CC1086" t="s">
        <v>2272</v>
      </c>
    </row>
    <row r="1087" spans="1:81" x14ac:dyDescent="0.25">
      <c r="A1087" s="10" t="s">
        <v>81</v>
      </c>
      <c r="B1087">
        <v>1086</v>
      </c>
      <c r="C1087" s="10">
        <v>152</v>
      </c>
      <c r="D1087">
        <v>7</v>
      </c>
      <c r="E1087" s="10">
        <v>247</v>
      </c>
      <c r="F1087" s="10">
        <v>264</v>
      </c>
      <c r="G1087" s="10">
        <v>591</v>
      </c>
      <c r="H1087" s="10">
        <v>951</v>
      </c>
      <c r="I1087" s="10" t="s">
        <v>2194</v>
      </c>
      <c r="J1087" s="10" t="s">
        <v>2289</v>
      </c>
      <c r="M1087" s="10" t="s">
        <v>85</v>
      </c>
      <c r="O1087" s="10" t="s">
        <v>14</v>
      </c>
      <c r="P1087" s="10" t="s">
        <v>2274</v>
      </c>
      <c r="Q1087" s="10" t="s">
        <v>2275</v>
      </c>
      <c r="R1087" s="10">
        <v>1971</v>
      </c>
      <c r="S1087" s="10" t="s">
        <v>2276</v>
      </c>
      <c r="V1087" s="10" t="s">
        <v>2277</v>
      </c>
      <c r="W1087" t="s">
        <v>91</v>
      </c>
      <c r="X1087" t="s">
        <v>126</v>
      </c>
      <c r="Y1087" t="s">
        <v>190</v>
      </c>
      <c r="Z1087" t="s">
        <v>191</v>
      </c>
      <c r="AA1087" t="s">
        <v>192</v>
      </c>
      <c r="AB1087" t="s">
        <v>193</v>
      </c>
      <c r="AC1087" t="s">
        <v>194</v>
      </c>
      <c r="AD1087" t="s">
        <v>132</v>
      </c>
      <c r="AE1087" t="s">
        <v>133</v>
      </c>
      <c r="AF1087" t="s">
        <v>100</v>
      </c>
      <c r="AG1087" t="s">
        <v>102</v>
      </c>
      <c r="AH1087" t="s">
        <v>102</v>
      </c>
      <c r="AI1087" t="s">
        <v>134</v>
      </c>
      <c r="AJ1087" t="s">
        <v>135</v>
      </c>
      <c r="AM1087" t="s">
        <v>136</v>
      </c>
      <c r="AN1087" t="s">
        <v>242</v>
      </c>
      <c r="AT1087">
        <f>(117+118)/2</f>
        <v>117.5</v>
      </c>
      <c r="AU1087">
        <f>(17+18)/2</f>
        <v>17.5</v>
      </c>
      <c r="AW1087" s="10" t="s">
        <v>108</v>
      </c>
      <c r="AX1087">
        <v>8.8000000000000007</v>
      </c>
      <c r="AY1087" s="10" t="s">
        <v>103</v>
      </c>
      <c r="AZ1087" s="10" t="s">
        <v>109</v>
      </c>
      <c r="BA1087" s="10" t="s">
        <v>142</v>
      </c>
      <c r="BB1087" s="10">
        <v>5</v>
      </c>
      <c r="BC1087" s="10">
        <v>10</v>
      </c>
      <c r="BD1087">
        <v>0.2</v>
      </c>
      <c r="BE1087" s="10" t="s">
        <v>139</v>
      </c>
      <c r="BF1087">
        <f>(35+17)/2</f>
        <v>26</v>
      </c>
      <c r="BI1087">
        <v>5</v>
      </c>
      <c r="BJ1087">
        <v>2</v>
      </c>
      <c r="BS1087" s="10" t="s">
        <v>515</v>
      </c>
      <c r="BT1087" t="s">
        <v>2250</v>
      </c>
      <c r="BU1087" t="s">
        <v>2279</v>
      </c>
      <c r="BV1087">
        <v>28.583480000000002</v>
      </c>
      <c r="BW1087">
        <v>9.7759199999999993</v>
      </c>
      <c r="BX1087">
        <v>12</v>
      </c>
      <c r="BY1087">
        <v>27.56718</v>
      </c>
      <c r="BZ1087">
        <v>4.3751860000000002</v>
      </c>
      <c r="CA1087">
        <v>10</v>
      </c>
      <c r="CB1087" t="s">
        <v>215</v>
      </c>
      <c r="CC1087" t="s">
        <v>2278</v>
      </c>
    </row>
    <row r="1088" spans="1:81" x14ac:dyDescent="0.25">
      <c r="A1088" s="10" t="s">
        <v>81</v>
      </c>
      <c r="B1088">
        <v>1087</v>
      </c>
      <c r="C1088" s="10">
        <v>152</v>
      </c>
      <c r="D1088">
        <v>7</v>
      </c>
      <c r="E1088" s="10">
        <v>247</v>
      </c>
      <c r="F1088" s="10">
        <v>264</v>
      </c>
      <c r="G1088" s="10">
        <v>591</v>
      </c>
      <c r="H1088" s="10">
        <v>952</v>
      </c>
      <c r="I1088" s="10" t="s">
        <v>2194</v>
      </c>
      <c r="J1088" s="10" t="s">
        <v>2290</v>
      </c>
      <c r="M1088" s="10" t="s">
        <v>85</v>
      </c>
      <c r="O1088" s="10" t="s">
        <v>14</v>
      </c>
      <c r="P1088" s="10" t="s">
        <v>2274</v>
      </c>
      <c r="Q1088" s="10" t="s">
        <v>2275</v>
      </c>
      <c r="R1088" s="10">
        <v>1971</v>
      </c>
      <c r="S1088" s="10" t="s">
        <v>2276</v>
      </c>
      <c r="V1088" s="10" t="s">
        <v>2277</v>
      </c>
      <c r="W1088" t="s">
        <v>91</v>
      </c>
      <c r="X1088" t="s">
        <v>126</v>
      </c>
      <c r="Y1088" t="s">
        <v>190</v>
      </c>
      <c r="Z1088" t="s">
        <v>191</v>
      </c>
      <c r="AA1088" t="s">
        <v>192</v>
      </c>
      <c r="AB1088" t="s">
        <v>193</v>
      </c>
      <c r="AC1088" t="s">
        <v>194</v>
      </c>
      <c r="AD1088" t="s">
        <v>132</v>
      </c>
      <c r="AE1088" t="s">
        <v>133</v>
      </c>
      <c r="AF1088" t="s">
        <v>100</v>
      </c>
      <c r="AG1088" t="s">
        <v>102</v>
      </c>
      <c r="AH1088" t="s">
        <v>102</v>
      </c>
      <c r="AI1088" t="s">
        <v>134</v>
      </c>
      <c r="AJ1088" t="s">
        <v>135</v>
      </c>
      <c r="AM1088" t="s">
        <v>136</v>
      </c>
      <c r="AN1088" t="s">
        <v>242</v>
      </c>
      <c r="AT1088">
        <f>(118+134)/2</f>
        <v>126</v>
      </c>
      <c r="AU1088">
        <f>(18+22)/2</f>
        <v>20</v>
      </c>
      <c r="AW1088" s="10" t="s">
        <v>108</v>
      </c>
      <c r="AX1088">
        <v>8.8000000000000007</v>
      </c>
      <c r="AY1088" s="10" t="s">
        <v>103</v>
      </c>
      <c r="AZ1088" s="10" t="s">
        <v>109</v>
      </c>
      <c r="BA1088" s="10" t="s">
        <v>142</v>
      </c>
      <c r="BB1088" s="10">
        <v>10</v>
      </c>
      <c r="BC1088" s="10">
        <v>15</v>
      </c>
      <c r="BD1088">
        <v>0.2</v>
      </c>
      <c r="BE1088" s="10" t="s">
        <v>139</v>
      </c>
      <c r="BF1088">
        <f>(17+48)/2</f>
        <v>32.5</v>
      </c>
      <c r="BI1088">
        <v>6</v>
      </c>
      <c r="BJ1088">
        <v>2</v>
      </c>
      <c r="BS1088" s="10" t="s">
        <v>515</v>
      </c>
      <c r="BT1088" t="s">
        <v>2250</v>
      </c>
      <c r="BU1088" t="s">
        <v>2279</v>
      </c>
      <c r="BV1088">
        <v>27.56718</v>
      </c>
      <c r="BW1088">
        <v>4.3751860000000002</v>
      </c>
      <c r="BX1088">
        <v>12</v>
      </c>
      <c r="BY1088">
        <v>30.46584</v>
      </c>
      <c r="BZ1088">
        <v>8.3361499999999999</v>
      </c>
      <c r="CA1088">
        <v>12</v>
      </c>
      <c r="CB1088" t="s">
        <v>215</v>
      </c>
      <c r="CC1088" t="s">
        <v>2278</v>
      </c>
    </row>
    <row r="1089" spans="1:81" x14ac:dyDescent="0.25">
      <c r="A1089" s="10" t="s">
        <v>81</v>
      </c>
      <c r="B1089">
        <v>1088</v>
      </c>
      <c r="C1089" s="10">
        <v>152</v>
      </c>
      <c r="D1089">
        <v>7</v>
      </c>
      <c r="E1089" s="10">
        <v>247</v>
      </c>
      <c r="F1089" s="10">
        <v>264</v>
      </c>
      <c r="G1089" s="10">
        <v>591</v>
      </c>
      <c r="H1089" s="10">
        <v>953</v>
      </c>
      <c r="I1089" s="10" t="s">
        <v>2194</v>
      </c>
      <c r="J1089" s="10" t="s">
        <v>2291</v>
      </c>
      <c r="M1089" s="10" t="s">
        <v>85</v>
      </c>
      <c r="O1089" s="10" t="s">
        <v>14</v>
      </c>
      <c r="P1089" s="10" t="s">
        <v>2274</v>
      </c>
      <c r="Q1089" s="10" t="s">
        <v>2275</v>
      </c>
      <c r="R1089" s="10">
        <v>1971</v>
      </c>
      <c r="S1089" s="10" t="s">
        <v>2276</v>
      </c>
      <c r="V1089" s="10" t="s">
        <v>2277</v>
      </c>
      <c r="W1089" t="s">
        <v>91</v>
      </c>
      <c r="X1089" t="s">
        <v>126</v>
      </c>
      <c r="Y1089" t="s">
        <v>190</v>
      </c>
      <c r="Z1089" t="s">
        <v>191</v>
      </c>
      <c r="AA1089" t="s">
        <v>192</v>
      </c>
      <c r="AB1089" t="s">
        <v>193</v>
      </c>
      <c r="AC1089" t="s">
        <v>194</v>
      </c>
      <c r="AD1089" t="s">
        <v>132</v>
      </c>
      <c r="AE1089" t="s">
        <v>133</v>
      </c>
      <c r="AF1089" t="s">
        <v>100</v>
      </c>
      <c r="AG1089" t="s">
        <v>102</v>
      </c>
      <c r="AH1089" t="s">
        <v>102</v>
      </c>
      <c r="AI1089" t="s">
        <v>134</v>
      </c>
      <c r="AJ1089" t="s">
        <v>135</v>
      </c>
      <c r="AM1089" t="s">
        <v>136</v>
      </c>
      <c r="AN1089" t="s">
        <v>242</v>
      </c>
      <c r="AT1089">
        <f>(134+118)/2</f>
        <v>126</v>
      </c>
      <c r="AU1089">
        <f>(22+18)/2</f>
        <v>20</v>
      </c>
      <c r="AW1089" s="10" t="s">
        <v>108</v>
      </c>
      <c r="AX1089">
        <v>8.8000000000000007</v>
      </c>
      <c r="AY1089" s="10" t="s">
        <v>103</v>
      </c>
      <c r="AZ1089" s="10" t="s">
        <v>109</v>
      </c>
      <c r="BA1089" s="10" t="s">
        <v>142</v>
      </c>
      <c r="BB1089" s="10">
        <v>15</v>
      </c>
      <c r="BC1089" s="10">
        <v>20</v>
      </c>
      <c r="BD1089">
        <v>0.2</v>
      </c>
      <c r="BE1089" s="10" t="s">
        <v>139</v>
      </c>
      <c r="BF1089">
        <f>(3+48)/2</f>
        <v>25.5</v>
      </c>
      <c r="BI1089">
        <v>6</v>
      </c>
      <c r="BJ1089">
        <v>2</v>
      </c>
      <c r="BS1089" s="10" t="s">
        <v>515</v>
      </c>
      <c r="BT1089" t="s">
        <v>2250</v>
      </c>
      <c r="BU1089" t="s">
        <v>2279</v>
      </c>
      <c r="BV1089">
        <v>30.46584</v>
      </c>
      <c r="BW1089">
        <v>8.3361499999999999</v>
      </c>
      <c r="BX1089">
        <v>12</v>
      </c>
      <c r="BY1089">
        <v>28.385439999999999</v>
      </c>
      <c r="BZ1089">
        <v>2.696364</v>
      </c>
      <c r="CA1089">
        <v>12</v>
      </c>
      <c r="CB1089" t="s">
        <v>215</v>
      </c>
      <c r="CC1089" t="s">
        <v>2278</v>
      </c>
    </row>
    <row r="1090" spans="1:81" x14ac:dyDescent="0.25">
      <c r="A1090" s="10" t="s">
        <v>81</v>
      </c>
      <c r="B1090">
        <v>1089</v>
      </c>
      <c r="C1090" s="10">
        <v>152</v>
      </c>
      <c r="D1090">
        <v>7</v>
      </c>
      <c r="E1090" s="10">
        <v>247</v>
      </c>
      <c r="F1090" s="10">
        <v>264</v>
      </c>
      <c r="G1090" s="10">
        <v>592</v>
      </c>
      <c r="H1090" s="10">
        <v>954</v>
      </c>
      <c r="I1090" s="10" t="s">
        <v>2194</v>
      </c>
      <c r="J1090" s="10" t="s">
        <v>2289</v>
      </c>
      <c r="M1090" s="10" t="s">
        <v>85</v>
      </c>
      <c r="O1090" s="10" t="s">
        <v>14</v>
      </c>
      <c r="P1090" s="10" t="s">
        <v>2274</v>
      </c>
      <c r="Q1090" s="10" t="s">
        <v>2275</v>
      </c>
      <c r="R1090" s="10">
        <v>1971</v>
      </c>
      <c r="S1090" s="10" t="s">
        <v>2276</v>
      </c>
      <c r="V1090" s="10" t="s">
        <v>2277</v>
      </c>
      <c r="W1090" t="s">
        <v>91</v>
      </c>
      <c r="X1090" t="s">
        <v>126</v>
      </c>
      <c r="Y1090" t="s">
        <v>190</v>
      </c>
      <c r="Z1090" t="s">
        <v>191</v>
      </c>
      <c r="AA1090" t="s">
        <v>192</v>
      </c>
      <c r="AB1090" t="s">
        <v>193</v>
      </c>
      <c r="AC1090" t="s">
        <v>194</v>
      </c>
      <c r="AD1090" t="s">
        <v>132</v>
      </c>
      <c r="AE1090" t="s">
        <v>133</v>
      </c>
      <c r="AF1090" t="s">
        <v>100</v>
      </c>
      <c r="AG1090" t="s">
        <v>102</v>
      </c>
      <c r="AH1090" t="s">
        <v>102</v>
      </c>
      <c r="AI1090" t="s">
        <v>134</v>
      </c>
      <c r="AJ1090" t="s">
        <v>135</v>
      </c>
      <c r="AM1090" t="s">
        <v>136</v>
      </c>
      <c r="AN1090" t="s">
        <v>242</v>
      </c>
      <c r="AT1090">
        <f>(117+118)/2</f>
        <v>117.5</v>
      </c>
      <c r="AU1090">
        <f>(17+18)/2</f>
        <v>17.5</v>
      </c>
      <c r="AW1090" s="10" t="s">
        <v>108</v>
      </c>
      <c r="AX1090">
        <v>8.8000000000000007</v>
      </c>
      <c r="AY1090" s="10" t="s">
        <v>103</v>
      </c>
      <c r="AZ1090" s="10" t="s">
        <v>109</v>
      </c>
      <c r="BA1090" s="10" t="s">
        <v>142</v>
      </c>
      <c r="BB1090" s="10">
        <v>5</v>
      </c>
      <c r="BC1090" s="10">
        <v>10</v>
      </c>
      <c r="BD1090">
        <v>0.2</v>
      </c>
      <c r="BE1090" s="10" t="s">
        <v>139</v>
      </c>
      <c r="BF1090">
        <f>(35+17)/2</f>
        <v>26</v>
      </c>
      <c r="BI1090">
        <v>6</v>
      </c>
      <c r="BJ1090">
        <v>2</v>
      </c>
      <c r="BS1090" s="10" t="s">
        <v>515</v>
      </c>
      <c r="BT1090" t="s">
        <v>2250</v>
      </c>
      <c r="BU1090" t="s">
        <v>2280</v>
      </c>
      <c r="BV1090">
        <v>26.240580000000001</v>
      </c>
      <c r="BW1090">
        <v>7.653594</v>
      </c>
      <c r="BX1090">
        <v>12</v>
      </c>
      <c r="BY1090">
        <v>30.110530000000001</v>
      </c>
      <c r="BZ1090">
        <v>5.726369</v>
      </c>
      <c r="CA1090">
        <v>12</v>
      </c>
      <c r="CB1090" t="s">
        <v>215</v>
      </c>
      <c r="CC1090" t="s">
        <v>2278</v>
      </c>
    </row>
    <row r="1091" spans="1:81" x14ac:dyDescent="0.25">
      <c r="A1091" s="10" t="s">
        <v>81</v>
      </c>
      <c r="B1091">
        <v>1090</v>
      </c>
      <c r="C1091" s="10">
        <v>152</v>
      </c>
      <c r="D1091">
        <v>7</v>
      </c>
      <c r="E1091" s="10">
        <v>247</v>
      </c>
      <c r="F1091" s="10">
        <v>264</v>
      </c>
      <c r="G1091" s="10">
        <v>592</v>
      </c>
      <c r="H1091" s="10">
        <v>955</v>
      </c>
      <c r="I1091" s="10" t="s">
        <v>2194</v>
      </c>
      <c r="J1091" s="10" t="s">
        <v>2290</v>
      </c>
      <c r="M1091" s="10" t="s">
        <v>85</v>
      </c>
      <c r="O1091" s="10" t="s">
        <v>14</v>
      </c>
      <c r="P1091" s="10" t="s">
        <v>2274</v>
      </c>
      <c r="Q1091" s="10" t="s">
        <v>2275</v>
      </c>
      <c r="R1091" s="10">
        <v>1971</v>
      </c>
      <c r="S1091" s="10" t="s">
        <v>2276</v>
      </c>
      <c r="V1091" s="10" t="s">
        <v>2277</v>
      </c>
      <c r="W1091" t="s">
        <v>91</v>
      </c>
      <c r="X1091" t="s">
        <v>126</v>
      </c>
      <c r="Y1091" t="s">
        <v>190</v>
      </c>
      <c r="Z1091" t="s">
        <v>191</v>
      </c>
      <c r="AA1091" t="s">
        <v>192</v>
      </c>
      <c r="AB1091" t="s">
        <v>193</v>
      </c>
      <c r="AC1091" t="s">
        <v>194</v>
      </c>
      <c r="AD1091" t="s">
        <v>132</v>
      </c>
      <c r="AE1091" t="s">
        <v>133</v>
      </c>
      <c r="AF1091" t="s">
        <v>100</v>
      </c>
      <c r="AG1091" t="s">
        <v>102</v>
      </c>
      <c r="AH1091" t="s">
        <v>102</v>
      </c>
      <c r="AI1091" t="s">
        <v>134</v>
      </c>
      <c r="AJ1091" t="s">
        <v>135</v>
      </c>
      <c r="AM1091" t="s">
        <v>136</v>
      </c>
      <c r="AN1091" t="s">
        <v>242</v>
      </c>
      <c r="AT1091">
        <f>(118+134)/2</f>
        <v>126</v>
      </c>
      <c r="AU1091">
        <f>(18+22)/2</f>
        <v>20</v>
      </c>
      <c r="AW1091" s="10" t="s">
        <v>108</v>
      </c>
      <c r="AX1091">
        <v>8.8000000000000007</v>
      </c>
      <c r="AY1091" s="10" t="s">
        <v>103</v>
      </c>
      <c r="AZ1091" s="10" t="s">
        <v>109</v>
      </c>
      <c r="BA1091" s="10" t="s">
        <v>142</v>
      </c>
      <c r="BB1091" s="10">
        <v>10</v>
      </c>
      <c r="BC1091" s="10">
        <v>15</v>
      </c>
      <c r="BD1091">
        <v>0.2</v>
      </c>
      <c r="BE1091" s="10" t="s">
        <v>139</v>
      </c>
      <c r="BF1091">
        <f>(17+48)/2</f>
        <v>32.5</v>
      </c>
      <c r="BI1091">
        <v>6</v>
      </c>
      <c r="BJ1091">
        <v>2</v>
      </c>
      <c r="BS1091" s="10" t="s">
        <v>515</v>
      </c>
      <c r="BT1091" t="s">
        <v>2250</v>
      </c>
      <c r="BU1091" t="s">
        <v>2280</v>
      </c>
      <c r="BV1091">
        <v>30.110530000000001</v>
      </c>
      <c r="BW1091">
        <v>5.726369</v>
      </c>
      <c r="BX1091">
        <v>12</v>
      </c>
      <c r="BY1091">
        <v>26.56859</v>
      </c>
      <c r="BZ1091">
        <v>2.3534619999999999</v>
      </c>
      <c r="CA1091">
        <v>12</v>
      </c>
      <c r="CB1091" t="s">
        <v>215</v>
      </c>
      <c r="CC1091" t="s">
        <v>2278</v>
      </c>
    </row>
    <row r="1092" spans="1:81" x14ac:dyDescent="0.25">
      <c r="A1092" s="10" t="s">
        <v>81</v>
      </c>
      <c r="B1092">
        <v>1091</v>
      </c>
      <c r="C1092" s="10">
        <v>152</v>
      </c>
      <c r="D1092">
        <v>7</v>
      </c>
      <c r="E1092" s="10">
        <v>247</v>
      </c>
      <c r="F1092" s="10">
        <v>264</v>
      </c>
      <c r="G1092" s="10">
        <v>592</v>
      </c>
      <c r="H1092" s="10">
        <v>956</v>
      </c>
      <c r="I1092" s="10" t="s">
        <v>2194</v>
      </c>
      <c r="J1092" s="10" t="s">
        <v>2291</v>
      </c>
      <c r="M1092" s="10" t="s">
        <v>85</v>
      </c>
      <c r="O1092" s="10" t="s">
        <v>14</v>
      </c>
      <c r="P1092" s="10" t="s">
        <v>2274</v>
      </c>
      <c r="Q1092" s="10" t="s">
        <v>2275</v>
      </c>
      <c r="R1092" s="10">
        <v>1971</v>
      </c>
      <c r="S1092" s="10" t="s">
        <v>2276</v>
      </c>
      <c r="V1092" s="10" t="s">
        <v>2277</v>
      </c>
      <c r="W1092" t="s">
        <v>91</v>
      </c>
      <c r="X1092" t="s">
        <v>126</v>
      </c>
      <c r="Y1092" t="s">
        <v>190</v>
      </c>
      <c r="Z1092" t="s">
        <v>191</v>
      </c>
      <c r="AA1092" t="s">
        <v>192</v>
      </c>
      <c r="AB1092" t="s">
        <v>193</v>
      </c>
      <c r="AC1092" t="s">
        <v>194</v>
      </c>
      <c r="AD1092" t="s">
        <v>132</v>
      </c>
      <c r="AE1092" t="s">
        <v>133</v>
      </c>
      <c r="AF1092" t="s">
        <v>100</v>
      </c>
      <c r="AG1092" t="s">
        <v>102</v>
      </c>
      <c r="AH1092" t="s">
        <v>102</v>
      </c>
      <c r="AI1092" t="s">
        <v>134</v>
      </c>
      <c r="AJ1092" t="s">
        <v>135</v>
      </c>
      <c r="AM1092" t="s">
        <v>136</v>
      </c>
      <c r="AN1092" t="s">
        <v>242</v>
      </c>
      <c r="AT1092">
        <f>(134+118)/2</f>
        <v>126</v>
      </c>
      <c r="AU1092">
        <f>(22+18)/2</f>
        <v>20</v>
      </c>
      <c r="AW1092" s="10" t="s">
        <v>108</v>
      </c>
      <c r="AX1092">
        <v>8.8000000000000007</v>
      </c>
      <c r="AY1092" s="10" t="s">
        <v>103</v>
      </c>
      <c r="AZ1092" s="10" t="s">
        <v>109</v>
      </c>
      <c r="BA1092" s="10" t="s">
        <v>142</v>
      </c>
      <c r="BB1092" s="10">
        <v>15</v>
      </c>
      <c r="BC1092" s="10">
        <v>20</v>
      </c>
      <c r="BD1092">
        <v>0.2</v>
      </c>
      <c r="BE1092" s="10" t="s">
        <v>139</v>
      </c>
      <c r="BF1092">
        <f>(3+48)/2</f>
        <v>25.5</v>
      </c>
      <c r="BI1092">
        <v>6</v>
      </c>
      <c r="BJ1092">
        <v>2</v>
      </c>
      <c r="BS1092" s="10" t="s">
        <v>515</v>
      </c>
      <c r="BT1092" t="s">
        <v>2250</v>
      </c>
      <c r="BU1092" t="s">
        <v>2280</v>
      </c>
      <c r="BV1092">
        <v>26.56859</v>
      </c>
      <c r="BW1092">
        <v>2.3534619999999999</v>
      </c>
      <c r="BX1092">
        <v>12</v>
      </c>
      <c r="BY1092">
        <v>27.505199999999999</v>
      </c>
      <c r="BZ1092">
        <v>2.6894650000000002</v>
      </c>
      <c r="CA1092">
        <v>12</v>
      </c>
      <c r="CB1092" t="s">
        <v>215</v>
      </c>
      <c r="CC1092" t="s">
        <v>2278</v>
      </c>
    </row>
    <row r="1093" spans="1:81" x14ac:dyDescent="0.25">
      <c r="A1093" s="10" t="s">
        <v>81</v>
      </c>
      <c r="B1093">
        <v>1092</v>
      </c>
      <c r="C1093" s="10">
        <v>152</v>
      </c>
      <c r="D1093">
        <v>26</v>
      </c>
      <c r="E1093" s="10">
        <v>248</v>
      </c>
      <c r="F1093" s="10">
        <v>265</v>
      </c>
      <c r="G1093" s="10">
        <v>593</v>
      </c>
      <c r="H1093" s="10">
        <v>957</v>
      </c>
      <c r="I1093" s="10"/>
      <c r="J1093" s="10" t="s">
        <v>2292</v>
      </c>
      <c r="M1093" s="10" t="s">
        <v>85</v>
      </c>
      <c r="O1093" s="10" t="s">
        <v>14</v>
      </c>
      <c r="P1093" s="10" t="s">
        <v>2274</v>
      </c>
      <c r="Q1093" s="10" t="s">
        <v>2275</v>
      </c>
      <c r="R1093" s="10">
        <v>1971</v>
      </c>
      <c r="S1093" s="10" t="s">
        <v>2276</v>
      </c>
      <c r="V1093" s="10" t="s">
        <v>2277</v>
      </c>
      <c r="W1093" t="s">
        <v>91</v>
      </c>
      <c r="X1093" t="s">
        <v>126</v>
      </c>
      <c r="Y1093" t="s">
        <v>190</v>
      </c>
      <c r="Z1093" t="s">
        <v>191</v>
      </c>
      <c r="AA1093" t="s">
        <v>192</v>
      </c>
      <c r="AB1093" t="s">
        <v>401</v>
      </c>
      <c r="AC1093" t="s">
        <v>402</v>
      </c>
      <c r="AD1093" t="s">
        <v>132</v>
      </c>
      <c r="AE1093" t="s">
        <v>133</v>
      </c>
      <c r="AF1093" t="s">
        <v>100</v>
      </c>
      <c r="AG1093" t="s">
        <v>102</v>
      </c>
      <c r="AH1093" t="s">
        <v>102</v>
      </c>
      <c r="AI1093" t="s">
        <v>134</v>
      </c>
      <c r="AJ1093" t="s">
        <v>135</v>
      </c>
      <c r="AM1093" t="s">
        <v>136</v>
      </c>
      <c r="AN1093" t="s">
        <v>242</v>
      </c>
      <c r="AT1093">
        <f>(134+134)/2</f>
        <v>134</v>
      </c>
      <c r="AU1093">
        <f>(23+23)/2</f>
        <v>23</v>
      </c>
      <c r="AW1093" s="10" t="s">
        <v>108</v>
      </c>
      <c r="AX1093">
        <f>(8.8+13)/2</f>
        <v>10.9</v>
      </c>
      <c r="AY1093" s="10" t="s">
        <v>103</v>
      </c>
      <c r="AZ1093" s="10" t="s">
        <v>109</v>
      </c>
      <c r="BA1093" s="10" t="s">
        <v>142</v>
      </c>
      <c r="BB1093" s="10">
        <v>15</v>
      </c>
      <c r="BC1093" s="10">
        <v>20</v>
      </c>
      <c r="BD1093">
        <v>0.2</v>
      </c>
      <c r="BE1093" s="10" t="s">
        <v>139</v>
      </c>
      <c r="BF1093">
        <f>(4+3)/2</f>
        <v>3.5</v>
      </c>
      <c r="BI1093">
        <v>6</v>
      </c>
      <c r="BJ1093">
        <v>2</v>
      </c>
      <c r="BS1093" s="10" t="s">
        <v>515</v>
      </c>
      <c r="BT1093" t="s">
        <v>2250</v>
      </c>
      <c r="BU1093" t="s">
        <v>2279</v>
      </c>
      <c r="BV1093">
        <v>27.355309999999999</v>
      </c>
      <c r="BW1093">
        <v>5.1600520000000003</v>
      </c>
      <c r="BX1093">
        <v>12</v>
      </c>
      <c r="BY1093">
        <v>27.781009999999998</v>
      </c>
      <c r="BZ1093">
        <v>2.7211850000000002</v>
      </c>
      <c r="CA1093">
        <v>12</v>
      </c>
      <c r="CB1093" t="s">
        <v>215</v>
      </c>
      <c r="CC1093" t="s">
        <v>2278</v>
      </c>
    </row>
    <row r="1094" spans="1:81" x14ac:dyDescent="0.25">
      <c r="A1094" s="10" t="s">
        <v>81</v>
      </c>
      <c r="B1094">
        <v>1093</v>
      </c>
      <c r="C1094" s="10">
        <v>152</v>
      </c>
      <c r="D1094">
        <v>26</v>
      </c>
      <c r="E1094" s="10">
        <v>248</v>
      </c>
      <c r="F1094" s="10">
        <v>265</v>
      </c>
      <c r="G1094" s="10">
        <v>594</v>
      </c>
      <c r="H1094" s="10">
        <v>958</v>
      </c>
      <c r="I1094" s="10"/>
      <c r="J1094" s="10" t="s">
        <v>2292</v>
      </c>
      <c r="M1094" s="10" t="s">
        <v>85</v>
      </c>
      <c r="O1094" s="10" t="s">
        <v>14</v>
      </c>
      <c r="P1094" s="10" t="s">
        <v>2274</v>
      </c>
      <c r="Q1094" s="10" t="s">
        <v>2275</v>
      </c>
      <c r="R1094" s="10">
        <v>1971</v>
      </c>
      <c r="S1094" s="10" t="s">
        <v>2276</v>
      </c>
      <c r="V1094" s="10" t="s">
        <v>2277</v>
      </c>
      <c r="W1094" t="s">
        <v>91</v>
      </c>
      <c r="X1094" t="s">
        <v>126</v>
      </c>
      <c r="Y1094" t="s">
        <v>190</v>
      </c>
      <c r="Z1094" t="s">
        <v>191</v>
      </c>
      <c r="AA1094" t="s">
        <v>192</v>
      </c>
      <c r="AB1094" t="s">
        <v>401</v>
      </c>
      <c r="AC1094" t="s">
        <v>402</v>
      </c>
      <c r="AD1094" t="s">
        <v>132</v>
      </c>
      <c r="AE1094" t="s">
        <v>133</v>
      </c>
      <c r="AF1094" t="s">
        <v>100</v>
      </c>
      <c r="AG1094" t="s">
        <v>102</v>
      </c>
      <c r="AH1094" t="s">
        <v>102</v>
      </c>
      <c r="AI1094" t="s">
        <v>134</v>
      </c>
      <c r="AJ1094" t="s">
        <v>135</v>
      </c>
      <c r="AM1094" t="s">
        <v>136</v>
      </c>
      <c r="AN1094" t="s">
        <v>242</v>
      </c>
      <c r="AT1094">
        <f>(134+134)/2</f>
        <v>134</v>
      </c>
      <c r="AU1094">
        <f>(23+23)/2</f>
        <v>23</v>
      </c>
      <c r="AW1094" s="10" t="s">
        <v>108</v>
      </c>
      <c r="AX1094">
        <f>(8.8+13)/2</f>
        <v>10.9</v>
      </c>
      <c r="AY1094" s="10" t="s">
        <v>103</v>
      </c>
      <c r="AZ1094" s="10" t="s">
        <v>109</v>
      </c>
      <c r="BA1094" s="10" t="s">
        <v>142</v>
      </c>
      <c r="BB1094" s="10">
        <v>15</v>
      </c>
      <c r="BC1094" s="10">
        <v>20</v>
      </c>
      <c r="BD1094">
        <v>0.2</v>
      </c>
      <c r="BE1094" s="10" t="s">
        <v>139</v>
      </c>
      <c r="BF1094">
        <f>(4+3)/2</f>
        <v>3.5</v>
      </c>
      <c r="BI1094">
        <v>6</v>
      </c>
      <c r="BJ1094">
        <v>2</v>
      </c>
      <c r="BS1094" s="10" t="s">
        <v>515</v>
      </c>
      <c r="BT1094" t="s">
        <v>2250</v>
      </c>
      <c r="BU1094" t="s">
        <v>2280</v>
      </c>
      <c r="BV1094">
        <v>23.50292</v>
      </c>
      <c r="BW1094">
        <v>4.2599960000000001</v>
      </c>
      <c r="BX1094">
        <v>12</v>
      </c>
      <c r="BY1094">
        <v>23.68084</v>
      </c>
      <c r="BZ1094">
        <v>3.2589649999999999</v>
      </c>
      <c r="CA1094">
        <v>12</v>
      </c>
      <c r="CB1094" t="s">
        <v>215</v>
      </c>
      <c r="CC1094" t="s">
        <v>2278</v>
      </c>
    </row>
    <row r="1095" spans="1:81" x14ac:dyDescent="0.25">
      <c r="A1095" s="10" t="s">
        <v>81</v>
      </c>
      <c r="B1095">
        <v>1094</v>
      </c>
      <c r="C1095" s="10">
        <v>152</v>
      </c>
      <c r="D1095">
        <v>10</v>
      </c>
      <c r="E1095" s="10">
        <v>249</v>
      </c>
      <c r="F1095" s="10">
        <v>266</v>
      </c>
      <c r="G1095" s="10">
        <v>595</v>
      </c>
      <c r="H1095" s="10">
        <v>959</v>
      </c>
      <c r="I1095" s="10"/>
      <c r="J1095" s="10" t="s">
        <v>2293</v>
      </c>
      <c r="M1095" s="10" t="s">
        <v>85</v>
      </c>
      <c r="O1095" s="10" t="s">
        <v>14</v>
      </c>
      <c r="P1095" s="10" t="s">
        <v>2274</v>
      </c>
      <c r="Q1095" s="10" t="s">
        <v>2275</v>
      </c>
      <c r="R1095" s="10">
        <v>1971</v>
      </c>
      <c r="S1095" s="10" t="s">
        <v>2276</v>
      </c>
      <c r="V1095" s="10" t="s">
        <v>2277</v>
      </c>
      <c r="W1095" t="s">
        <v>91</v>
      </c>
      <c r="X1095" t="s">
        <v>126</v>
      </c>
      <c r="Y1095" t="s">
        <v>190</v>
      </c>
      <c r="Z1095" t="s">
        <v>191</v>
      </c>
      <c r="AA1095" t="s">
        <v>192</v>
      </c>
      <c r="AB1095" t="s">
        <v>227</v>
      </c>
      <c r="AC1095" t="s">
        <v>228</v>
      </c>
      <c r="AD1095" t="s">
        <v>132</v>
      </c>
      <c r="AE1095" t="s">
        <v>133</v>
      </c>
      <c r="AF1095" t="s">
        <v>100</v>
      </c>
      <c r="AG1095" t="s">
        <v>102</v>
      </c>
      <c r="AH1095" t="s">
        <v>102</v>
      </c>
      <c r="AI1095" t="s">
        <v>134</v>
      </c>
      <c r="AJ1095" t="s">
        <v>135</v>
      </c>
      <c r="AM1095" t="s">
        <v>136</v>
      </c>
      <c r="AN1095" t="s">
        <v>242</v>
      </c>
      <c r="AT1095">
        <f>(179+179)/2</f>
        <v>179</v>
      </c>
      <c r="AU1095">
        <f>(54+54)/2</f>
        <v>54</v>
      </c>
      <c r="AW1095" s="10" t="s">
        <v>108</v>
      </c>
      <c r="AX1095">
        <v>12</v>
      </c>
      <c r="AY1095" s="10" t="s">
        <v>103</v>
      </c>
      <c r="AZ1095" s="10" t="s">
        <v>109</v>
      </c>
      <c r="BA1095" s="10" t="s">
        <v>142</v>
      </c>
      <c r="BB1095" s="10">
        <v>10</v>
      </c>
      <c r="BC1095" s="10">
        <v>15</v>
      </c>
      <c r="BD1095">
        <v>0.2</v>
      </c>
      <c r="BE1095" s="10" t="s">
        <v>139</v>
      </c>
      <c r="BF1095">
        <f>(5+42)/2</f>
        <v>23.5</v>
      </c>
      <c r="BI1095">
        <v>6</v>
      </c>
      <c r="BJ1095">
        <v>2</v>
      </c>
      <c r="BS1095" s="10" t="s">
        <v>515</v>
      </c>
      <c r="BT1095" t="s">
        <v>2250</v>
      </c>
      <c r="BU1095" t="s">
        <v>2281</v>
      </c>
      <c r="BV1095">
        <v>31.043299999999999</v>
      </c>
      <c r="BW1095">
        <v>14.29893</v>
      </c>
      <c r="BX1095">
        <v>12</v>
      </c>
      <c r="BY1095">
        <v>29.19501</v>
      </c>
      <c r="BZ1095">
        <v>5.6384939999999997</v>
      </c>
      <c r="CA1095">
        <v>12</v>
      </c>
      <c r="CB1095" t="s">
        <v>215</v>
      </c>
      <c r="CC1095" t="s">
        <v>2278</v>
      </c>
    </row>
    <row r="1096" spans="1:81" x14ac:dyDescent="0.25">
      <c r="A1096" s="10" t="s">
        <v>81</v>
      </c>
      <c r="B1096">
        <v>1095</v>
      </c>
      <c r="C1096" s="10">
        <v>152</v>
      </c>
      <c r="D1096">
        <v>10</v>
      </c>
      <c r="E1096" s="10">
        <v>249</v>
      </c>
      <c r="F1096" s="10">
        <v>266</v>
      </c>
      <c r="G1096" s="10">
        <v>596</v>
      </c>
      <c r="H1096" s="10">
        <v>960</v>
      </c>
      <c r="J1096" s="10" t="s">
        <v>2293</v>
      </c>
      <c r="M1096" s="10" t="s">
        <v>85</v>
      </c>
      <c r="O1096" s="10" t="s">
        <v>14</v>
      </c>
      <c r="P1096" s="10" t="s">
        <v>2274</v>
      </c>
      <c r="Q1096" s="10" t="s">
        <v>2275</v>
      </c>
      <c r="R1096" s="10">
        <v>1971</v>
      </c>
      <c r="S1096" s="10" t="s">
        <v>2276</v>
      </c>
      <c r="V1096" s="10" t="s">
        <v>2277</v>
      </c>
      <c r="W1096" t="s">
        <v>91</v>
      </c>
      <c r="X1096" t="s">
        <v>126</v>
      </c>
      <c r="Y1096" t="s">
        <v>190</v>
      </c>
      <c r="Z1096" t="s">
        <v>191</v>
      </c>
      <c r="AA1096" t="s">
        <v>192</v>
      </c>
      <c r="AB1096" t="s">
        <v>227</v>
      </c>
      <c r="AC1096" t="s">
        <v>228</v>
      </c>
      <c r="AD1096" t="s">
        <v>132</v>
      </c>
      <c r="AE1096" t="s">
        <v>133</v>
      </c>
      <c r="AF1096" t="s">
        <v>100</v>
      </c>
      <c r="AG1096" t="s">
        <v>102</v>
      </c>
      <c r="AH1096" t="s">
        <v>102</v>
      </c>
      <c r="AI1096" t="s">
        <v>134</v>
      </c>
      <c r="AJ1096" t="s">
        <v>135</v>
      </c>
      <c r="AM1096" t="s">
        <v>136</v>
      </c>
      <c r="AN1096" t="s">
        <v>242</v>
      </c>
      <c r="AT1096">
        <f>(179+179)/2</f>
        <v>179</v>
      </c>
      <c r="AU1096">
        <f>(54+54)/2</f>
        <v>54</v>
      </c>
      <c r="AW1096" s="10" t="s">
        <v>108</v>
      </c>
      <c r="AX1096">
        <v>12</v>
      </c>
      <c r="AY1096" s="10" t="s">
        <v>103</v>
      </c>
      <c r="AZ1096" s="10" t="s">
        <v>109</v>
      </c>
      <c r="BA1096" s="10" t="s">
        <v>142</v>
      </c>
      <c r="BB1096" s="10">
        <v>10</v>
      </c>
      <c r="BC1096" s="10">
        <v>15</v>
      </c>
      <c r="BD1096">
        <v>0.2</v>
      </c>
      <c r="BE1096" s="10" t="s">
        <v>139</v>
      </c>
      <c r="BF1096">
        <f>(5+42)/2</f>
        <v>23.5</v>
      </c>
      <c r="BI1096">
        <v>6</v>
      </c>
      <c r="BJ1096">
        <v>2</v>
      </c>
      <c r="BS1096" s="10" t="s">
        <v>515</v>
      </c>
      <c r="BT1096" t="s">
        <v>2250</v>
      </c>
      <c r="BU1096" t="s">
        <v>2282</v>
      </c>
      <c r="BV1096">
        <v>19.420400000000001</v>
      </c>
      <c r="BW1096">
        <v>7.0518970000000003</v>
      </c>
      <c r="BX1096">
        <v>12</v>
      </c>
      <c r="BY1096">
        <v>17.81166</v>
      </c>
      <c r="BZ1096">
        <v>7.7182890000000004</v>
      </c>
      <c r="CA1096">
        <v>12</v>
      </c>
      <c r="CB1096" t="s">
        <v>215</v>
      </c>
      <c r="CC1096" t="s">
        <v>2278</v>
      </c>
    </row>
    <row r="1097" spans="1:81" x14ac:dyDescent="0.25">
      <c r="A1097" s="10" t="s">
        <v>81</v>
      </c>
      <c r="B1097">
        <v>1096</v>
      </c>
      <c r="C1097" s="10">
        <v>153</v>
      </c>
      <c r="D1097">
        <v>142</v>
      </c>
      <c r="E1097" s="10">
        <v>250</v>
      </c>
      <c r="F1097" s="10">
        <v>267</v>
      </c>
      <c r="G1097" s="10">
        <v>597</v>
      </c>
      <c r="H1097" s="10">
        <v>961</v>
      </c>
      <c r="I1097" s="10" t="s">
        <v>2194</v>
      </c>
      <c r="J1097" s="10" t="s">
        <v>691</v>
      </c>
      <c r="M1097" s="10" t="s">
        <v>85</v>
      </c>
      <c r="O1097" s="10" t="s">
        <v>14</v>
      </c>
      <c r="P1097" s="10" t="s">
        <v>2285</v>
      </c>
      <c r="Q1097" s="10" t="s">
        <v>2283</v>
      </c>
      <c r="R1097" s="10">
        <v>1970</v>
      </c>
      <c r="S1097" s="10" t="s">
        <v>1736</v>
      </c>
      <c r="U1097" t="s">
        <v>2299</v>
      </c>
      <c r="V1097" s="10" t="s">
        <v>2284</v>
      </c>
      <c r="W1097" t="s">
        <v>91</v>
      </c>
      <c r="X1097" t="s">
        <v>126</v>
      </c>
      <c r="Y1097" t="s">
        <v>190</v>
      </c>
      <c r="Z1097" t="s">
        <v>191</v>
      </c>
      <c r="AA1097" t="s">
        <v>2286</v>
      </c>
      <c r="AB1097" t="s">
        <v>2287</v>
      </c>
      <c r="AC1097" t="s">
        <v>2288</v>
      </c>
      <c r="AD1097" t="s">
        <v>132</v>
      </c>
      <c r="AE1097" t="s">
        <v>133</v>
      </c>
      <c r="AF1097" t="s">
        <v>100</v>
      </c>
      <c r="AG1097" t="s">
        <v>102</v>
      </c>
      <c r="AH1097" t="s">
        <v>102</v>
      </c>
      <c r="AI1097" t="s">
        <v>134</v>
      </c>
      <c r="AJ1097" t="s">
        <v>135</v>
      </c>
      <c r="AM1097" t="s">
        <v>136</v>
      </c>
      <c r="AN1097" t="s">
        <v>106</v>
      </c>
      <c r="AO1097">
        <v>42.408611111100001</v>
      </c>
      <c r="AP1097">
        <v>-83.983055555600004</v>
      </c>
      <c r="AQ1097">
        <v>274</v>
      </c>
      <c r="AR1097" t="s">
        <v>439</v>
      </c>
      <c r="AS1097">
        <v>1967</v>
      </c>
      <c r="AT1097">
        <v>48</v>
      </c>
      <c r="AW1097" s="10" t="s">
        <v>108</v>
      </c>
      <c r="AX1097">
        <v>10</v>
      </c>
      <c r="AY1097" s="10" t="s">
        <v>103</v>
      </c>
      <c r="AZ1097" s="10" t="s">
        <v>212</v>
      </c>
      <c r="BA1097" s="10" t="s">
        <v>142</v>
      </c>
      <c r="BB1097" s="10">
        <v>2</v>
      </c>
      <c r="BC1097" s="10">
        <v>5</v>
      </c>
      <c r="BD1097">
        <v>0.1</v>
      </c>
      <c r="BE1097" s="10" t="s">
        <v>139</v>
      </c>
      <c r="BF1097">
        <f>(42+28)/2</f>
        <v>35</v>
      </c>
      <c r="BH1097">
        <f>7*24</f>
        <v>168</v>
      </c>
      <c r="BI1097">
        <v>7</v>
      </c>
      <c r="BJ1097">
        <v>1</v>
      </c>
      <c r="BK1097">
        <v>10</v>
      </c>
      <c r="BM1097">
        <f>(6+9.1)/2</f>
        <v>7.55</v>
      </c>
      <c r="BO1097">
        <f>(7.8+8.1)/2</f>
        <v>7.9499999999999993</v>
      </c>
      <c r="BP1097">
        <v>15</v>
      </c>
      <c r="BS1097" s="10" t="s">
        <v>515</v>
      </c>
      <c r="BT1097" t="s">
        <v>2296</v>
      </c>
      <c r="BU1097" t="s">
        <v>2294</v>
      </c>
      <c r="BV1097">
        <v>19.75</v>
      </c>
      <c r="BW1097" t="s">
        <v>454</v>
      </c>
      <c r="BX1097">
        <v>7</v>
      </c>
      <c r="BY1097">
        <v>21.75</v>
      </c>
      <c r="BZ1097" t="s">
        <v>454</v>
      </c>
      <c r="CA1097">
        <v>7</v>
      </c>
      <c r="CB1097" t="s">
        <v>215</v>
      </c>
      <c r="CC1097" t="s">
        <v>2297</v>
      </c>
    </row>
    <row r="1098" spans="1:81" x14ac:dyDescent="0.25">
      <c r="A1098" s="10" t="s">
        <v>81</v>
      </c>
      <c r="B1098">
        <v>1097</v>
      </c>
      <c r="C1098" s="10">
        <v>153</v>
      </c>
      <c r="D1098">
        <v>142</v>
      </c>
      <c r="E1098" s="10">
        <v>250</v>
      </c>
      <c r="F1098" s="10">
        <v>267</v>
      </c>
      <c r="G1098" s="10">
        <v>597</v>
      </c>
      <c r="H1098" s="10">
        <v>962</v>
      </c>
      <c r="I1098" s="10" t="s">
        <v>2194</v>
      </c>
      <c r="J1098" s="10" t="s">
        <v>691</v>
      </c>
      <c r="M1098" s="10" t="s">
        <v>85</v>
      </c>
      <c r="O1098" s="10" t="s">
        <v>14</v>
      </c>
      <c r="P1098" s="10" t="s">
        <v>2285</v>
      </c>
      <c r="Q1098" s="10" t="s">
        <v>2283</v>
      </c>
      <c r="R1098" s="10">
        <v>1970</v>
      </c>
      <c r="S1098" s="10" t="s">
        <v>1736</v>
      </c>
      <c r="U1098" t="s">
        <v>2299</v>
      </c>
      <c r="V1098" s="10" t="s">
        <v>2284</v>
      </c>
      <c r="W1098" t="s">
        <v>91</v>
      </c>
      <c r="X1098" t="s">
        <v>126</v>
      </c>
      <c r="Y1098" t="s">
        <v>190</v>
      </c>
      <c r="Z1098" t="s">
        <v>191</v>
      </c>
      <c r="AA1098" t="s">
        <v>2286</v>
      </c>
      <c r="AB1098" t="s">
        <v>2287</v>
      </c>
      <c r="AC1098" t="s">
        <v>2288</v>
      </c>
      <c r="AD1098" t="s">
        <v>132</v>
      </c>
      <c r="AE1098" t="s">
        <v>133</v>
      </c>
      <c r="AF1098" t="s">
        <v>100</v>
      </c>
      <c r="AG1098" t="s">
        <v>102</v>
      </c>
      <c r="AH1098" t="s">
        <v>102</v>
      </c>
      <c r="AI1098" t="s">
        <v>134</v>
      </c>
      <c r="AJ1098" t="s">
        <v>135</v>
      </c>
      <c r="AM1098" t="s">
        <v>136</v>
      </c>
      <c r="AN1098" t="s">
        <v>106</v>
      </c>
      <c r="AO1098">
        <v>42.408611111100001</v>
      </c>
      <c r="AP1098">
        <v>-83.983055555600004</v>
      </c>
      <c r="AQ1098">
        <v>274</v>
      </c>
      <c r="AR1098" t="s">
        <v>439</v>
      </c>
      <c r="AS1098">
        <v>1967</v>
      </c>
      <c r="AT1098">
        <v>48</v>
      </c>
      <c r="AW1098" s="10" t="s">
        <v>108</v>
      </c>
      <c r="AX1098">
        <v>10</v>
      </c>
      <c r="AY1098" s="10" t="s">
        <v>134</v>
      </c>
      <c r="AZ1098" s="10" t="s">
        <v>212</v>
      </c>
      <c r="BA1098" s="10" t="s">
        <v>142</v>
      </c>
      <c r="BB1098" s="10">
        <v>5</v>
      </c>
      <c r="BC1098" s="10">
        <v>10</v>
      </c>
      <c r="BD1098">
        <v>0.1</v>
      </c>
      <c r="BE1098" s="10" t="s">
        <v>139</v>
      </c>
      <c r="BF1098" s="10">
        <v>28</v>
      </c>
      <c r="BH1098">
        <f>7*24</f>
        <v>168</v>
      </c>
      <c r="BI1098">
        <v>7</v>
      </c>
      <c r="BJ1098">
        <v>1</v>
      </c>
      <c r="BK1098">
        <v>10</v>
      </c>
      <c r="BM1098">
        <f>(6+9.1)/2</f>
        <v>7.55</v>
      </c>
      <c r="BO1098">
        <f>(7.8+8.1)/2</f>
        <v>7.9499999999999993</v>
      </c>
      <c r="BP1098">
        <v>15</v>
      </c>
      <c r="BS1098" s="10" t="s">
        <v>515</v>
      </c>
      <c r="BT1098" t="s">
        <v>2296</v>
      </c>
      <c r="BU1098" t="s">
        <v>2295</v>
      </c>
      <c r="BV1098">
        <v>21.75</v>
      </c>
      <c r="BW1098" t="s">
        <v>454</v>
      </c>
      <c r="BX1098">
        <v>7</v>
      </c>
      <c r="BY1098">
        <v>24.25</v>
      </c>
      <c r="BZ1098" t="s">
        <v>454</v>
      </c>
      <c r="CA1098">
        <v>7</v>
      </c>
      <c r="CB1098" t="s">
        <v>215</v>
      </c>
      <c r="CC1098" t="s">
        <v>2297</v>
      </c>
    </row>
    <row r="1099" spans="1:81" x14ac:dyDescent="0.25">
      <c r="A1099" s="10" t="s">
        <v>81</v>
      </c>
      <c r="B1099">
        <v>1098</v>
      </c>
      <c r="C1099" s="10">
        <v>153</v>
      </c>
      <c r="D1099">
        <v>142</v>
      </c>
      <c r="E1099" s="10">
        <v>250</v>
      </c>
      <c r="F1099" s="10">
        <v>267</v>
      </c>
      <c r="G1099" s="10">
        <v>597</v>
      </c>
      <c r="H1099" s="10">
        <v>963</v>
      </c>
      <c r="I1099" s="10" t="s">
        <v>2194</v>
      </c>
      <c r="J1099" s="10" t="s">
        <v>691</v>
      </c>
      <c r="M1099" s="10" t="s">
        <v>85</v>
      </c>
      <c r="O1099" s="10" t="s">
        <v>14</v>
      </c>
      <c r="P1099" s="10" t="s">
        <v>2285</v>
      </c>
      <c r="Q1099" s="10" t="s">
        <v>2283</v>
      </c>
      <c r="R1099" s="10">
        <v>1970</v>
      </c>
      <c r="S1099" s="10" t="s">
        <v>1736</v>
      </c>
      <c r="U1099" t="s">
        <v>2299</v>
      </c>
      <c r="V1099" s="10" t="s">
        <v>2284</v>
      </c>
      <c r="W1099" t="s">
        <v>91</v>
      </c>
      <c r="X1099" t="s">
        <v>126</v>
      </c>
      <c r="Y1099" t="s">
        <v>190</v>
      </c>
      <c r="Z1099" t="s">
        <v>191</v>
      </c>
      <c r="AA1099" t="s">
        <v>2286</v>
      </c>
      <c r="AB1099" t="s">
        <v>2287</v>
      </c>
      <c r="AC1099" t="s">
        <v>2288</v>
      </c>
      <c r="AD1099" t="s">
        <v>132</v>
      </c>
      <c r="AE1099" t="s">
        <v>133</v>
      </c>
      <c r="AF1099" t="s">
        <v>100</v>
      </c>
      <c r="AG1099" t="s">
        <v>102</v>
      </c>
      <c r="AH1099" t="s">
        <v>102</v>
      </c>
      <c r="AI1099" t="s">
        <v>134</v>
      </c>
      <c r="AJ1099" t="s">
        <v>135</v>
      </c>
      <c r="AM1099" t="s">
        <v>136</v>
      </c>
      <c r="AN1099" t="s">
        <v>106</v>
      </c>
      <c r="AO1099">
        <v>42.408611111100001</v>
      </c>
      <c r="AP1099">
        <v>-83.983055555600004</v>
      </c>
      <c r="AQ1099">
        <v>274</v>
      </c>
      <c r="AR1099" t="s">
        <v>439</v>
      </c>
      <c r="AS1099">
        <v>1967</v>
      </c>
      <c r="AT1099">
        <v>48</v>
      </c>
      <c r="AW1099" s="10" t="s">
        <v>108</v>
      </c>
      <c r="AX1099">
        <v>10</v>
      </c>
      <c r="AY1099" s="10" t="s">
        <v>134</v>
      </c>
      <c r="AZ1099" s="10" t="s">
        <v>212</v>
      </c>
      <c r="BA1099" s="10" t="s">
        <v>142</v>
      </c>
      <c r="BB1099" s="10">
        <v>10</v>
      </c>
      <c r="BC1099" s="10">
        <v>20</v>
      </c>
      <c r="BD1099">
        <v>0.1</v>
      </c>
      <c r="BE1099" s="10" t="s">
        <v>139</v>
      </c>
      <c r="BF1099" s="10">
        <v>14</v>
      </c>
      <c r="BH1099">
        <f>7*24</f>
        <v>168</v>
      </c>
      <c r="BI1099">
        <v>7</v>
      </c>
      <c r="BJ1099">
        <v>1</v>
      </c>
      <c r="BK1099">
        <v>10</v>
      </c>
      <c r="BM1099">
        <f>(6+9.1)/2</f>
        <v>7.55</v>
      </c>
      <c r="BO1099">
        <f>(7.8+8.1)/2</f>
        <v>7.9499999999999993</v>
      </c>
      <c r="BP1099">
        <v>15</v>
      </c>
      <c r="BS1099" s="10" t="s">
        <v>515</v>
      </c>
      <c r="BT1099" t="s">
        <v>2296</v>
      </c>
      <c r="BU1099" t="s">
        <v>2295</v>
      </c>
      <c r="BV1099">
        <v>24.25</v>
      </c>
      <c r="BW1099" t="s">
        <v>454</v>
      </c>
      <c r="BX1099">
        <v>7</v>
      </c>
      <c r="BY1099">
        <v>26.25</v>
      </c>
      <c r="BZ1099" t="s">
        <v>454</v>
      </c>
      <c r="CA1099">
        <v>7</v>
      </c>
      <c r="CB1099" t="s">
        <v>215</v>
      </c>
      <c r="CC1099" t="s">
        <v>2297</v>
      </c>
    </row>
    <row r="1100" spans="1:81" x14ac:dyDescent="0.25">
      <c r="A1100" s="10" t="s">
        <v>81</v>
      </c>
      <c r="B1100">
        <v>1099</v>
      </c>
      <c r="C1100" s="10">
        <v>153</v>
      </c>
      <c r="D1100">
        <v>142</v>
      </c>
      <c r="E1100" s="10">
        <v>250</v>
      </c>
      <c r="F1100" s="10">
        <v>267</v>
      </c>
      <c r="G1100" s="10">
        <v>597</v>
      </c>
      <c r="H1100" s="10">
        <v>964</v>
      </c>
      <c r="I1100" s="10" t="s">
        <v>2194</v>
      </c>
      <c r="J1100" s="10" t="s">
        <v>691</v>
      </c>
      <c r="M1100" s="10" t="s">
        <v>85</v>
      </c>
      <c r="O1100" s="10" t="s">
        <v>14</v>
      </c>
      <c r="P1100" s="10" t="s">
        <v>2285</v>
      </c>
      <c r="Q1100" s="10" t="s">
        <v>2283</v>
      </c>
      <c r="R1100" s="10">
        <v>1970</v>
      </c>
      <c r="S1100" s="10" t="s">
        <v>1736</v>
      </c>
      <c r="U1100" t="s">
        <v>2299</v>
      </c>
      <c r="V1100" s="10" t="s">
        <v>2284</v>
      </c>
      <c r="W1100" t="s">
        <v>91</v>
      </c>
      <c r="X1100" t="s">
        <v>126</v>
      </c>
      <c r="Y1100" t="s">
        <v>190</v>
      </c>
      <c r="Z1100" t="s">
        <v>191</v>
      </c>
      <c r="AA1100" t="s">
        <v>2286</v>
      </c>
      <c r="AB1100" t="s">
        <v>2287</v>
      </c>
      <c r="AC1100" t="s">
        <v>2288</v>
      </c>
      <c r="AD1100" t="s">
        <v>132</v>
      </c>
      <c r="AE1100" t="s">
        <v>133</v>
      </c>
      <c r="AF1100" t="s">
        <v>100</v>
      </c>
      <c r="AG1100" t="s">
        <v>102</v>
      </c>
      <c r="AH1100" t="s">
        <v>102</v>
      </c>
      <c r="AI1100" t="s">
        <v>134</v>
      </c>
      <c r="AJ1100" t="s">
        <v>135</v>
      </c>
      <c r="AM1100" t="s">
        <v>136</v>
      </c>
      <c r="AN1100" t="s">
        <v>106</v>
      </c>
      <c r="AO1100">
        <v>42.408611111100001</v>
      </c>
      <c r="AP1100">
        <v>-83.983055555600004</v>
      </c>
      <c r="AQ1100">
        <v>274</v>
      </c>
      <c r="AR1100" t="s">
        <v>439</v>
      </c>
      <c r="AS1100">
        <v>1967</v>
      </c>
      <c r="AT1100">
        <v>48</v>
      </c>
      <c r="AW1100" s="10" t="s">
        <v>108</v>
      </c>
      <c r="AX1100">
        <v>10</v>
      </c>
      <c r="AY1100" s="10" t="s">
        <v>103</v>
      </c>
      <c r="AZ1100" s="10" t="s">
        <v>212</v>
      </c>
      <c r="BA1100" s="10" t="s">
        <v>142</v>
      </c>
      <c r="BB1100" s="10">
        <v>20</v>
      </c>
      <c r="BC1100" s="10">
        <v>25</v>
      </c>
      <c r="BD1100">
        <v>0.1</v>
      </c>
      <c r="BE1100" s="10" t="s">
        <v>139</v>
      </c>
      <c r="BF1100">
        <f>(14+21)/2</f>
        <v>17.5</v>
      </c>
      <c r="BH1100">
        <f>7*24</f>
        <v>168</v>
      </c>
      <c r="BI1100">
        <v>7</v>
      </c>
      <c r="BJ1100">
        <v>1</v>
      </c>
      <c r="BK1100">
        <v>10</v>
      </c>
      <c r="BM1100">
        <f>(6+9.1)/2</f>
        <v>7.55</v>
      </c>
      <c r="BO1100">
        <f>(7.8+8.1)/2</f>
        <v>7.9499999999999993</v>
      </c>
      <c r="BP1100">
        <v>15</v>
      </c>
      <c r="BS1100" s="10" t="s">
        <v>515</v>
      </c>
      <c r="BT1100" t="s">
        <v>2296</v>
      </c>
      <c r="BU1100" t="s">
        <v>2294</v>
      </c>
      <c r="BV1100">
        <v>26.25</v>
      </c>
      <c r="BW1100" t="s">
        <v>454</v>
      </c>
      <c r="BX1100">
        <v>7</v>
      </c>
      <c r="BY1100">
        <v>25.75</v>
      </c>
      <c r="BZ1100" t="s">
        <v>454</v>
      </c>
      <c r="CA1100">
        <v>7</v>
      </c>
      <c r="CB1100" t="s">
        <v>215</v>
      </c>
      <c r="CC1100" t="s">
        <v>2297</v>
      </c>
    </row>
    <row r="1101" spans="1:81" x14ac:dyDescent="0.25">
      <c r="A1101" s="10" t="s">
        <v>81</v>
      </c>
      <c r="B1101">
        <v>1100</v>
      </c>
      <c r="C1101" s="10">
        <v>154</v>
      </c>
      <c r="D1101">
        <v>143</v>
      </c>
      <c r="E1101" s="10">
        <v>251</v>
      </c>
      <c r="F1101" s="10">
        <v>268</v>
      </c>
      <c r="G1101" s="10">
        <v>598</v>
      </c>
      <c r="H1101" s="10">
        <v>965</v>
      </c>
      <c r="I1101" s="10" t="s">
        <v>2194</v>
      </c>
      <c r="J1101" s="10" t="s">
        <v>197</v>
      </c>
      <c r="M1101" s="10" t="s">
        <v>85</v>
      </c>
      <c r="O1101" s="10" t="s">
        <v>14</v>
      </c>
      <c r="P1101" s="10" t="s">
        <v>2298</v>
      </c>
      <c r="Q1101" s="10" t="s">
        <v>2302</v>
      </c>
      <c r="R1101" s="10">
        <v>1986</v>
      </c>
      <c r="S1101" s="10" t="s">
        <v>2300</v>
      </c>
      <c r="U1101" s="9" t="s">
        <v>2301</v>
      </c>
      <c r="V1101" s="10" t="s">
        <v>2303</v>
      </c>
      <c r="W1101" s="10" t="s">
        <v>91</v>
      </c>
      <c r="X1101" s="10" t="s">
        <v>126</v>
      </c>
      <c r="Y1101" s="10" t="s">
        <v>434</v>
      </c>
      <c r="Z1101" s="10" t="s">
        <v>2304</v>
      </c>
      <c r="AA1101" s="10" t="s">
        <v>2305</v>
      </c>
      <c r="AB1101" s="10" t="s">
        <v>2306</v>
      </c>
      <c r="AC1101" s="10" t="s">
        <v>2307</v>
      </c>
      <c r="AD1101" s="10" t="s">
        <v>132</v>
      </c>
      <c r="AE1101" s="10" t="s">
        <v>133</v>
      </c>
      <c r="AF1101" s="10" t="s">
        <v>100</v>
      </c>
      <c r="AG1101" s="10" t="s">
        <v>102</v>
      </c>
      <c r="AH1101" s="10" t="s">
        <v>102</v>
      </c>
      <c r="AI1101" s="10" t="s">
        <v>134</v>
      </c>
      <c r="AJ1101" s="10" t="s">
        <v>135</v>
      </c>
      <c r="AM1101" t="s">
        <v>136</v>
      </c>
      <c r="AN1101" t="s">
        <v>1286</v>
      </c>
      <c r="AU1101">
        <v>26.6</v>
      </c>
      <c r="AW1101" s="10" t="s">
        <v>108</v>
      </c>
      <c r="AX1101">
        <v>22</v>
      </c>
      <c r="AY1101" s="10" t="s">
        <v>134</v>
      </c>
      <c r="AZ1101" s="10" t="s">
        <v>212</v>
      </c>
      <c r="BA1101" s="10" t="s">
        <v>142</v>
      </c>
      <c r="BB1101" s="10">
        <v>22.1</v>
      </c>
      <c r="BC1101" s="10">
        <v>26</v>
      </c>
      <c r="BD1101">
        <f>(0.05+0.2)/2</f>
        <v>0.125</v>
      </c>
      <c r="BE1101" s="10" t="s">
        <v>139</v>
      </c>
      <c r="BF1101">
        <v>21</v>
      </c>
      <c r="BG1101">
        <f>1/1440</f>
        <v>6.9444444444444447E-4</v>
      </c>
      <c r="BO1101">
        <f>(8.2+8.3)/2</f>
        <v>8.25</v>
      </c>
      <c r="BP1101">
        <v>15</v>
      </c>
      <c r="BT1101" t="s">
        <v>2309</v>
      </c>
      <c r="BU1101" t="s">
        <v>2308</v>
      </c>
      <c r="BV1101">
        <v>33</v>
      </c>
      <c r="BW1101" t="s">
        <v>454</v>
      </c>
      <c r="BX1101" t="s">
        <v>454</v>
      </c>
      <c r="BY1101">
        <v>34.1</v>
      </c>
      <c r="BZ1101" t="s">
        <v>454</v>
      </c>
      <c r="CA1101" t="s">
        <v>454</v>
      </c>
      <c r="CB1101" t="s">
        <v>215</v>
      </c>
      <c r="CC1101" t="s">
        <v>2310</v>
      </c>
    </row>
    <row r="1102" spans="1:81" x14ac:dyDescent="0.25">
      <c r="A1102" s="10" t="s">
        <v>81</v>
      </c>
      <c r="B1102">
        <v>1101</v>
      </c>
      <c r="C1102" s="10">
        <v>154</v>
      </c>
      <c r="D1102">
        <v>143</v>
      </c>
      <c r="E1102" s="10">
        <v>251</v>
      </c>
      <c r="F1102" s="10">
        <v>268</v>
      </c>
      <c r="G1102" s="10">
        <v>598</v>
      </c>
      <c r="H1102" s="10">
        <v>966</v>
      </c>
      <c r="I1102" s="10" t="s">
        <v>2194</v>
      </c>
      <c r="J1102" s="10" t="s">
        <v>197</v>
      </c>
      <c r="M1102" s="10" t="s">
        <v>85</v>
      </c>
      <c r="O1102" s="10" t="s">
        <v>14</v>
      </c>
      <c r="P1102" s="10" t="s">
        <v>2298</v>
      </c>
      <c r="Q1102" s="10" t="s">
        <v>2302</v>
      </c>
      <c r="R1102" s="10">
        <v>1986</v>
      </c>
      <c r="S1102" s="10" t="s">
        <v>2300</v>
      </c>
      <c r="U1102" s="9" t="s">
        <v>2301</v>
      </c>
      <c r="V1102" s="10" t="s">
        <v>2303</v>
      </c>
      <c r="W1102" s="10" t="s">
        <v>91</v>
      </c>
      <c r="X1102" s="10" t="s">
        <v>126</v>
      </c>
      <c r="Y1102" s="10" t="s">
        <v>434</v>
      </c>
      <c r="Z1102" s="10" t="s">
        <v>2304</v>
      </c>
      <c r="AA1102" s="10" t="s">
        <v>2305</v>
      </c>
      <c r="AB1102" s="10" t="s">
        <v>2306</v>
      </c>
      <c r="AC1102" s="10" t="s">
        <v>2307</v>
      </c>
      <c r="AD1102" s="10" t="s">
        <v>132</v>
      </c>
      <c r="AE1102" s="10" t="s">
        <v>133</v>
      </c>
      <c r="AF1102" s="10" t="s">
        <v>100</v>
      </c>
      <c r="AG1102" s="10" t="s">
        <v>102</v>
      </c>
      <c r="AH1102" s="10" t="s">
        <v>102</v>
      </c>
      <c r="AI1102" s="10" t="s">
        <v>134</v>
      </c>
      <c r="AJ1102" s="10" t="s">
        <v>135</v>
      </c>
      <c r="AM1102" t="s">
        <v>136</v>
      </c>
      <c r="AN1102" t="s">
        <v>1286</v>
      </c>
      <c r="AU1102">
        <v>26.6</v>
      </c>
      <c r="AW1102" s="10" t="s">
        <v>108</v>
      </c>
      <c r="AX1102">
        <v>22</v>
      </c>
      <c r="AY1102" s="10" t="s">
        <v>103</v>
      </c>
      <c r="AZ1102" s="10" t="s">
        <v>212</v>
      </c>
      <c r="BA1102" s="10" t="s">
        <v>142</v>
      </c>
      <c r="BB1102" s="10">
        <v>26</v>
      </c>
      <c r="BC1102" s="10">
        <v>28</v>
      </c>
      <c r="BD1102">
        <f>(0.05+0.2)/2</f>
        <v>0.125</v>
      </c>
      <c r="BE1102" s="10" t="s">
        <v>139</v>
      </c>
      <c r="BF1102">
        <v>21</v>
      </c>
      <c r="BG1102">
        <f>1/1440</f>
        <v>6.9444444444444447E-4</v>
      </c>
      <c r="BO1102">
        <f>(8.2+8.3)/2</f>
        <v>8.25</v>
      </c>
      <c r="BP1102">
        <v>15</v>
      </c>
      <c r="BT1102" t="s">
        <v>2309</v>
      </c>
      <c r="BU1102" t="s">
        <v>2308</v>
      </c>
      <c r="BV1102">
        <v>34.1</v>
      </c>
      <c r="BW1102" t="s">
        <v>454</v>
      </c>
      <c r="BX1102" t="s">
        <v>454</v>
      </c>
      <c r="BY1102">
        <v>34.1</v>
      </c>
      <c r="BZ1102" t="s">
        <v>454</v>
      </c>
      <c r="CA1102" t="s">
        <v>454</v>
      </c>
      <c r="CB1102" t="s">
        <v>215</v>
      </c>
      <c r="CC1102" t="s">
        <v>2310</v>
      </c>
    </row>
    <row r="1103" spans="1:81" x14ac:dyDescent="0.25">
      <c r="A1103" s="10" t="s">
        <v>81</v>
      </c>
      <c r="B1103">
        <v>1102</v>
      </c>
      <c r="C1103" s="10">
        <v>155</v>
      </c>
      <c r="D1103">
        <v>144</v>
      </c>
      <c r="E1103" s="10">
        <v>252</v>
      </c>
      <c r="F1103" s="10">
        <v>269</v>
      </c>
      <c r="G1103" s="10">
        <v>599</v>
      </c>
      <c r="H1103" s="10">
        <v>967</v>
      </c>
      <c r="I1103" s="10" t="s">
        <v>2194</v>
      </c>
      <c r="J1103" s="10" t="s">
        <v>691</v>
      </c>
      <c r="M1103" s="10" t="s">
        <v>85</v>
      </c>
      <c r="O1103" s="10" t="s">
        <v>14</v>
      </c>
      <c r="P1103" s="10" t="s">
        <v>2311</v>
      </c>
      <c r="Q1103" s="10" t="s">
        <v>2312</v>
      </c>
      <c r="R1103" s="10">
        <v>2012</v>
      </c>
      <c r="S1103" s="10" t="s">
        <v>2313</v>
      </c>
      <c r="U1103" s="10" t="s">
        <v>2314</v>
      </c>
      <c r="V1103" s="10" t="s">
        <v>2315</v>
      </c>
      <c r="W1103" s="10" t="s">
        <v>91</v>
      </c>
      <c r="X1103" s="10" t="s">
        <v>126</v>
      </c>
      <c r="Y1103" s="10" t="s">
        <v>255</v>
      </c>
      <c r="Z1103" s="10" t="s">
        <v>256</v>
      </c>
      <c r="AA1103" s="10" t="s">
        <v>2316</v>
      </c>
      <c r="AB1103" s="10" t="s">
        <v>2317</v>
      </c>
      <c r="AC1103" s="10" t="s">
        <v>2318</v>
      </c>
      <c r="AD1103" s="10" t="s">
        <v>132</v>
      </c>
      <c r="AE1103" s="10" t="s">
        <v>133</v>
      </c>
      <c r="AF1103" s="10" t="s">
        <v>260</v>
      </c>
      <c r="AG1103" s="10" t="s">
        <v>102</v>
      </c>
      <c r="AH1103" s="10" t="s">
        <v>102</v>
      </c>
      <c r="AI1103" s="10" t="s">
        <v>134</v>
      </c>
      <c r="AJ1103" s="10" t="s">
        <v>135</v>
      </c>
      <c r="AM1103" t="s">
        <v>136</v>
      </c>
      <c r="AN1103" t="s">
        <v>106</v>
      </c>
      <c r="AW1103" s="10" t="s">
        <v>108</v>
      </c>
      <c r="AX1103">
        <v>25</v>
      </c>
      <c r="AZ1103" s="10" t="s">
        <v>109</v>
      </c>
      <c r="BA1103" s="10" t="s">
        <v>142</v>
      </c>
      <c r="BB1103" s="10">
        <v>20</v>
      </c>
      <c r="BC1103" s="10">
        <v>25</v>
      </c>
      <c r="BD1103">
        <v>0.5</v>
      </c>
      <c r="BE1103" s="10" t="s">
        <v>139</v>
      </c>
      <c r="BF1103">
        <v>15</v>
      </c>
      <c r="BG1103">
        <f>1/1440</f>
        <v>6.9444444444444447E-4</v>
      </c>
      <c r="BS1103" s="10" t="s">
        <v>515</v>
      </c>
      <c r="BT1103" t="s">
        <v>2296</v>
      </c>
      <c r="BU1103" t="s">
        <v>1719</v>
      </c>
      <c r="BV1103">
        <v>38</v>
      </c>
      <c r="BW1103" t="s">
        <v>454</v>
      </c>
      <c r="BX1103">
        <v>5</v>
      </c>
      <c r="BY1103">
        <v>38.799999999999997</v>
      </c>
      <c r="BZ1103">
        <v>1.0956733089999999</v>
      </c>
      <c r="CA1103">
        <v>5</v>
      </c>
      <c r="CB1103" t="s">
        <v>113</v>
      </c>
      <c r="CC1103" t="s">
        <v>2319</v>
      </c>
    </row>
    <row r="1104" spans="1:81" x14ac:dyDescent="0.25">
      <c r="A1104" s="10" t="s">
        <v>81</v>
      </c>
      <c r="B1104">
        <v>1103</v>
      </c>
      <c r="C1104" s="10">
        <v>155</v>
      </c>
      <c r="D1104">
        <v>144</v>
      </c>
      <c r="E1104" s="10">
        <v>252</v>
      </c>
      <c r="F1104" s="10">
        <v>269</v>
      </c>
      <c r="G1104" s="10">
        <v>599</v>
      </c>
      <c r="H1104" s="10">
        <v>968</v>
      </c>
      <c r="I1104" s="10" t="s">
        <v>2194</v>
      </c>
      <c r="J1104" s="10" t="s">
        <v>691</v>
      </c>
      <c r="M1104" s="10" t="s">
        <v>85</v>
      </c>
      <c r="O1104" s="10" t="s">
        <v>14</v>
      </c>
      <c r="P1104" s="10" t="s">
        <v>2311</v>
      </c>
      <c r="Q1104" s="10" t="s">
        <v>2312</v>
      </c>
      <c r="R1104" s="10">
        <v>2012</v>
      </c>
      <c r="S1104" s="10" t="s">
        <v>2313</v>
      </c>
      <c r="U1104" s="10" t="s">
        <v>2314</v>
      </c>
      <c r="V1104" s="10" t="s">
        <v>2315</v>
      </c>
      <c r="W1104" s="10" t="s">
        <v>91</v>
      </c>
      <c r="X1104" s="10" t="s">
        <v>126</v>
      </c>
      <c r="Y1104" s="10" t="s">
        <v>255</v>
      </c>
      <c r="Z1104" s="10" t="s">
        <v>256</v>
      </c>
      <c r="AA1104" s="10" t="s">
        <v>2316</v>
      </c>
      <c r="AB1104" s="10" t="s">
        <v>2317</v>
      </c>
      <c r="AC1104" s="10" t="s">
        <v>2318</v>
      </c>
      <c r="AD1104" s="10" t="s">
        <v>132</v>
      </c>
      <c r="AE1104" s="10" t="s">
        <v>133</v>
      </c>
      <c r="AF1104" s="10" t="s">
        <v>260</v>
      </c>
      <c r="AG1104" s="10" t="s">
        <v>102</v>
      </c>
      <c r="AH1104" s="10" t="s">
        <v>102</v>
      </c>
      <c r="AI1104" s="10" t="s">
        <v>134</v>
      </c>
      <c r="AJ1104" s="10" t="s">
        <v>135</v>
      </c>
      <c r="AM1104" t="s">
        <v>136</v>
      </c>
      <c r="AN1104" t="s">
        <v>106</v>
      </c>
      <c r="AW1104" s="10" t="s">
        <v>108</v>
      </c>
      <c r="AX1104">
        <v>25</v>
      </c>
      <c r="AZ1104" s="10" t="s">
        <v>109</v>
      </c>
      <c r="BA1104" s="10" t="s">
        <v>142</v>
      </c>
      <c r="BB1104" s="10">
        <v>25</v>
      </c>
      <c r="BC1104" s="10">
        <v>30</v>
      </c>
      <c r="BD1104">
        <v>0.5</v>
      </c>
      <c r="BE1104" s="10" t="s">
        <v>139</v>
      </c>
      <c r="BF1104">
        <v>15</v>
      </c>
      <c r="BG1104">
        <f>1/1440</f>
        <v>6.9444444444444447E-4</v>
      </c>
      <c r="BS1104" s="10" t="s">
        <v>515</v>
      </c>
      <c r="BT1104" t="s">
        <v>2296</v>
      </c>
      <c r="BU1104" t="s">
        <v>1719</v>
      </c>
      <c r="BV1104">
        <v>38.799999999999997</v>
      </c>
      <c r="BW1104">
        <v>1.0956733089999999</v>
      </c>
      <c r="BX1104">
        <v>5</v>
      </c>
      <c r="BY1104">
        <v>38</v>
      </c>
      <c r="BZ1104" t="s">
        <v>454</v>
      </c>
      <c r="CA1104">
        <v>5</v>
      </c>
      <c r="CB1104" t="s">
        <v>113</v>
      </c>
      <c r="CC1104" t="s">
        <v>2319</v>
      </c>
    </row>
    <row r="1105" spans="1:81" x14ac:dyDescent="0.25">
      <c r="A1105" s="10" t="s">
        <v>81</v>
      </c>
      <c r="B1105">
        <v>1104</v>
      </c>
      <c r="C1105" s="10">
        <v>156</v>
      </c>
      <c r="D1105">
        <v>145</v>
      </c>
      <c r="E1105" s="10">
        <v>253</v>
      </c>
      <c r="F1105" s="10">
        <v>270</v>
      </c>
      <c r="G1105" s="10">
        <v>600</v>
      </c>
      <c r="H1105" s="10">
        <v>969</v>
      </c>
      <c r="J1105" s="10" t="s">
        <v>338</v>
      </c>
      <c r="L1105" s="10" t="s">
        <v>2330</v>
      </c>
      <c r="M1105" s="10" t="s">
        <v>85</v>
      </c>
      <c r="O1105" s="10" t="s">
        <v>14</v>
      </c>
      <c r="P1105" s="10" t="s">
        <v>2320</v>
      </c>
      <c r="Q1105" s="10" t="s">
        <v>2321</v>
      </c>
      <c r="R1105" s="10">
        <v>1963</v>
      </c>
      <c r="S1105" s="10" t="s">
        <v>2322</v>
      </c>
      <c r="V1105" s="10" t="s">
        <v>2323</v>
      </c>
      <c r="W1105" s="10" t="s">
        <v>91</v>
      </c>
      <c r="X1105" s="10" t="s">
        <v>2327</v>
      </c>
      <c r="Y1105" s="10" t="s">
        <v>2328</v>
      </c>
      <c r="Z1105" s="10" t="s">
        <v>2329</v>
      </c>
      <c r="AA1105" s="10" t="s">
        <v>2324</v>
      </c>
      <c r="AB1105" s="10" t="s">
        <v>2325</v>
      </c>
      <c r="AC1105" s="10" t="s">
        <v>2326</v>
      </c>
      <c r="AD1105" s="10" t="s">
        <v>132</v>
      </c>
      <c r="AE1105" s="10" t="s">
        <v>133</v>
      </c>
      <c r="AF1105" s="10" t="s">
        <v>100</v>
      </c>
      <c r="AG1105" s="10" t="s">
        <v>261</v>
      </c>
      <c r="AH1105" s="10" t="s">
        <v>102</v>
      </c>
      <c r="AI1105" s="10" t="s">
        <v>134</v>
      </c>
      <c r="AJ1105" s="10" t="s">
        <v>135</v>
      </c>
      <c r="AM1105" t="s">
        <v>178</v>
      </c>
      <c r="AN1105" t="s">
        <v>106</v>
      </c>
      <c r="AW1105" s="10" t="s">
        <v>108</v>
      </c>
      <c r="AX1105">
        <v>18</v>
      </c>
      <c r="AY1105" t="s">
        <v>103</v>
      </c>
      <c r="AZ1105" s="10" t="s">
        <v>109</v>
      </c>
      <c r="BA1105" s="10" t="s">
        <v>142</v>
      </c>
      <c r="BB1105" s="10">
        <v>15</v>
      </c>
      <c r="BC1105" s="10">
        <v>20</v>
      </c>
      <c r="BE1105" s="10" t="s">
        <v>139</v>
      </c>
      <c r="BT1105" t="s">
        <v>2250</v>
      </c>
      <c r="BV1105">
        <v>33.626640000000002</v>
      </c>
      <c r="BW1105">
        <v>0.39868160000000002</v>
      </c>
      <c r="BX1105" t="s">
        <v>454</v>
      </c>
      <c r="BY1105">
        <v>33.781950000000002</v>
      </c>
      <c r="BZ1105">
        <v>0.67567719999999998</v>
      </c>
      <c r="CA1105" t="s">
        <v>454</v>
      </c>
      <c r="CB1105" t="s">
        <v>215</v>
      </c>
      <c r="CC1105" t="s">
        <v>2331</v>
      </c>
    </row>
    <row r="1106" spans="1:81" x14ac:dyDescent="0.25">
      <c r="A1106" s="10" t="s">
        <v>81</v>
      </c>
      <c r="B1106">
        <v>1105</v>
      </c>
      <c r="C1106" s="10">
        <v>157</v>
      </c>
      <c r="D1106">
        <v>146</v>
      </c>
      <c r="E1106" s="10">
        <v>254</v>
      </c>
      <c r="F1106" s="10">
        <v>271</v>
      </c>
      <c r="G1106" s="10">
        <v>601</v>
      </c>
      <c r="H1106" s="10">
        <v>970</v>
      </c>
      <c r="I1106" s="10" t="s">
        <v>2194</v>
      </c>
      <c r="J1106" s="10" t="s">
        <v>184</v>
      </c>
      <c r="L1106" s="10" t="s">
        <v>2343</v>
      </c>
      <c r="M1106" s="10" t="s">
        <v>85</v>
      </c>
      <c r="O1106" s="10" t="s">
        <v>14</v>
      </c>
      <c r="P1106" s="10" t="s">
        <v>2333</v>
      </c>
      <c r="Q1106" s="10" t="s">
        <v>2332</v>
      </c>
      <c r="R1106" s="10">
        <v>1976</v>
      </c>
      <c r="S1106" s="10" t="s">
        <v>431</v>
      </c>
      <c r="U1106" s="9" t="s">
        <v>2335</v>
      </c>
      <c r="V1106" s="10" t="s">
        <v>2334</v>
      </c>
      <c r="W1106" s="10" t="s">
        <v>91</v>
      </c>
      <c r="X1106" s="10" t="s">
        <v>126</v>
      </c>
      <c r="Y1106" s="10" t="s">
        <v>2336</v>
      </c>
      <c r="Z1106" s="10" t="s">
        <v>2337</v>
      </c>
      <c r="AA1106" s="10" t="s">
        <v>2339</v>
      </c>
      <c r="AB1106" s="10" t="s">
        <v>2340</v>
      </c>
      <c r="AC1106" s="10" t="s">
        <v>2338</v>
      </c>
      <c r="AD1106" s="10" t="s">
        <v>132</v>
      </c>
      <c r="AE1106" s="10" t="s">
        <v>133</v>
      </c>
      <c r="AF1106" s="10" t="s">
        <v>100</v>
      </c>
      <c r="AG1106" s="10" t="s">
        <v>102</v>
      </c>
      <c r="AH1106" s="10" t="s">
        <v>102</v>
      </c>
      <c r="AI1106" s="10" t="s">
        <v>134</v>
      </c>
      <c r="AJ1106" s="10" t="s">
        <v>135</v>
      </c>
      <c r="AM1106" t="s">
        <v>136</v>
      </c>
      <c r="AN1106" t="s">
        <v>106</v>
      </c>
      <c r="AV1106">
        <v>20</v>
      </c>
      <c r="AW1106" s="10" t="s">
        <v>108</v>
      </c>
      <c r="AX1106">
        <v>18</v>
      </c>
      <c r="AY1106" t="s">
        <v>103</v>
      </c>
      <c r="AZ1106" s="10" t="s">
        <v>212</v>
      </c>
      <c r="BA1106" s="10" t="s">
        <v>142</v>
      </c>
      <c r="BB1106" s="10">
        <v>20</v>
      </c>
      <c r="BC1106" s="10">
        <v>25</v>
      </c>
      <c r="BD1106" s="10"/>
      <c r="BE1106" s="10" t="s">
        <v>139</v>
      </c>
      <c r="BF1106" s="10">
        <v>20</v>
      </c>
      <c r="BG1106" s="10"/>
      <c r="BH1106" s="10">
        <v>0.5</v>
      </c>
      <c r="BI1106">
        <v>8</v>
      </c>
      <c r="BJ1106">
        <v>1</v>
      </c>
      <c r="BK1106">
        <v>10</v>
      </c>
      <c r="BL1106" s="10"/>
      <c r="BN1106">
        <v>30</v>
      </c>
      <c r="BP1106">
        <v>12</v>
      </c>
      <c r="BT1106" t="s">
        <v>2296</v>
      </c>
      <c r="BU1106" t="s">
        <v>2341</v>
      </c>
      <c r="BV1106">
        <v>32.496499999999997</v>
      </c>
      <c r="BW1106" t="s">
        <v>454</v>
      </c>
      <c r="BX1106">
        <v>8</v>
      </c>
      <c r="BY1106">
        <v>36.342660000000002</v>
      </c>
      <c r="BZ1106" t="s">
        <v>454</v>
      </c>
      <c r="CA1106">
        <v>8</v>
      </c>
      <c r="CB1106" t="s">
        <v>215</v>
      </c>
      <c r="CC1106" t="s">
        <v>2342</v>
      </c>
    </row>
    <row r="1107" spans="1:81" x14ac:dyDescent="0.25">
      <c r="A1107" s="10" t="s">
        <v>81</v>
      </c>
      <c r="B1107">
        <v>1106</v>
      </c>
      <c r="C1107" s="10">
        <v>157</v>
      </c>
      <c r="D1107">
        <v>146</v>
      </c>
      <c r="E1107" s="10">
        <v>254</v>
      </c>
      <c r="F1107" s="10">
        <v>271</v>
      </c>
      <c r="G1107" s="10">
        <v>601</v>
      </c>
      <c r="H1107" s="10">
        <v>971</v>
      </c>
      <c r="I1107" s="10" t="s">
        <v>2194</v>
      </c>
      <c r="J1107" s="10" t="s">
        <v>184</v>
      </c>
      <c r="L1107" t="s">
        <v>2343</v>
      </c>
      <c r="M1107" s="10" t="s">
        <v>85</v>
      </c>
      <c r="O1107" s="10" t="s">
        <v>14</v>
      </c>
      <c r="P1107" s="10" t="s">
        <v>2333</v>
      </c>
      <c r="Q1107" s="10" t="s">
        <v>2332</v>
      </c>
      <c r="R1107" s="10">
        <v>1976</v>
      </c>
      <c r="S1107" s="10" t="s">
        <v>431</v>
      </c>
      <c r="U1107" s="9" t="s">
        <v>2335</v>
      </c>
      <c r="V1107" s="10" t="s">
        <v>2334</v>
      </c>
      <c r="W1107" s="10" t="s">
        <v>91</v>
      </c>
      <c r="X1107" s="10" t="s">
        <v>126</v>
      </c>
      <c r="Y1107" s="10" t="s">
        <v>2336</v>
      </c>
      <c r="Z1107" s="10" t="s">
        <v>2337</v>
      </c>
      <c r="AA1107" s="10" t="s">
        <v>2339</v>
      </c>
      <c r="AB1107" s="10" t="s">
        <v>2340</v>
      </c>
      <c r="AC1107" s="10" t="s">
        <v>2338</v>
      </c>
      <c r="AD1107" s="10" t="s">
        <v>132</v>
      </c>
      <c r="AE1107" s="10" t="s">
        <v>133</v>
      </c>
      <c r="AF1107" s="10" t="s">
        <v>100</v>
      </c>
      <c r="AG1107" s="10" t="s">
        <v>102</v>
      </c>
      <c r="AH1107" s="10" t="s">
        <v>102</v>
      </c>
      <c r="AI1107" s="10" t="s">
        <v>134</v>
      </c>
      <c r="AJ1107" s="10" t="s">
        <v>135</v>
      </c>
      <c r="AM1107" t="s">
        <v>136</v>
      </c>
      <c r="AN1107" t="s">
        <v>106</v>
      </c>
      <c r="AV1107">
        <v>20</v>
      </c>
      <c r="AW1107" s="10" t="s">
        <v>108</v>
      </c>
      <c r="AX1107">
        <v>18</v>
      </c>
      <c r="AY1107" t="s">
        <v>103</v>
      </c>
      <c r="AZ1107" s="10" t="s">
        <v>212</v>
      </c>
      <c r="BA1107" s="10" t="s">
        <v>142</v>
      </c>
      <c r="BB1107" s="10">
        <v>25</v>
      </c>
      <c r="BC1107" s="10">
        <v>30</v>
      </c>
      <c r="BD1107" s="10"/>
      <c r="BE1107" s="10" t="s">
        <v>139</v>
      </c>
      <c r="BF1107" s="10">
        <v>20</v>
      </c>
      <c r="BG1107" s="10"/>
      <c r="BH1107" s="10">
        <v>0.5</v>
      </c>
      <c r="BI1107">
        <v>8</v>
      </c>
      <c r="BJ1107">
        <v>1</v>
      </c>
      <c r="BK1107">
        <v>10</v>
      </c>
      <c r="BL1107" s="10"/>
      <c r="BN1107">
        <v>30</v>
      </c>
      <c r="BP1107">
        <v>12</v>
      </c>
      <c r="BT1107" t="s">
        <v>2296</v>
      </c>
      <c r="BU1107" t="s">
        <v>2341</v>
      </c>
      <c r="BV1107">
        <v>36.342660000000002</v>
      </c>
      <c r="BW1107" t="s">
        <v>454</v>
      </c>
      <c r="BX1107">
        <v>8</v>
      </c>
      <c r="BY1107">
        <v>36.510489999999997</v>
      </c>
      <c r="BZ1107" t="s">
        <v>454</v>
      </c>
      <c r="CA1107">
        <v>8</v>
      </c>
      <c r="CB1107" t="s">
        <v>215</v>
      </c>
      <c r="CC1107" t="s">
        <v>2342</v>
      </c>
    </row>
    <row r="1108" spans="1:81" x14ac:dyDescent="0.25">
      <c r="A1108" s="10" t="s">
        <v>81</v>
      </c>
      <c r="B1108">
        <v>1107</v>
      </c>
      <c r="C1108" s="10">
        <v>158</v>
      </c>
      <c r="D1108">
        <v>147</v>
      </c>
      <c r="E1108" s="10">
        <v>255</v>
      </c>
      <c r="F1108" s="10">
        <v>272</v>
      </c>
      <c r="G1108" s="10">
        <v>602</v>
      </c>
      <c r="H1108" s="10">
        <v>972</v>
      </c>
      <c r="I1108" s="10" t="s">
        <v>2194</v>
      </c>
      <c r="J1108" s="10" t="s">
        <v>304</v>
      </c>
      <c r="L1108" t="s">
        <v>2353</v>
      </c>
      <c r="M1108" s="10" t="s">
        <v>85</v>
      </c>
      <c r="O1108" s="10" t="s">
        <v>14</v>
      </c>
      <c r="P1108" s="10" t="s">
        <v>2346</v>
      </c>
      <c r="Q1108" s="10" t="s">
        <v>2344</v>
      </c>
      <c r="R1108" s="10">
        <v>1975</v>
      </c>
      <c r="S1108" s="10" t="s">
        <v>2345</v>
      </c>
      <c r="U1108" s="9" t="s">
        <v>2347</v>
      </c>
      <c r="V1108" s="10" t="s">
        <v>2348</v>
      </c>
      <c r="W1108" s="10" t="s">
        <v>91</v>
      </c>
      <c r="X1108" s="10" t="s">
        <v>126</v>
      </c>
      <c r="Y1108" s="10" t="s">
        <v>255</v>
      </c>
      <c r="Z1108" s="10" t="s">
        <v>2349</v>
      </c>
      <c r="AA1108" s="10" t="s">
        <v>2350</v>
      </c>
      <c r="AB1108" s="10" t="s">
        <v>2351</v>
      </c>
      <c r="AC1108" s="10" t="s">
        <v>2352</v>
      </c>
      <c r="AD1108" s="10" t="s">
        <v>132</v>
      </c>
      <c r="AE1108" s="10" t="s">
        <v>133</v>
      </c>
      <c r="AF1108" s="10" t="s">
        <v>100</v>
      </c>
      <c r="AG1108" s="10" t="s">
        <v>261</v>
      </c>
      <c r="AH1108" s="10" t="s">
        <v>102</v>
      </c>
      <c r="AI1108" s="10" t="s">
        <v>103</v>
      </c>
      <c r="AJ1108" s="10" t="s">
        <v>135</v>
      </c>
      <c r="AL1108">
        <v>20</v>
      </c>
      <c r="AM1108" t="s">
        <v>843</v>
      </c>
      <c r="AN1108" t="s">
        <v>106</v>
      </c>
      <c r="AW1108" s="10" t="s">
        <v>108</v>
      </c>
      <c r="AY1108" t="s">
        <v>103</v>
      </c>
      <c r="AZ1108" s="10" t="s">
        <v>109</v>
      </c>
      <c r="BA1108" s="10" t="s">
        <v>138</v>
      </c>
      <c r="BB1108" s="10">
        <v>24</v>
      </c>
      <c r="BC1108" s="10">
        <v>28</v>
      </c>
      <c r="BD1108">
        <v>0.1</v>
      </c>
      <c r="BE1108" s="10" t="s">
        <v>139</v>
      </c>
      <c r="BG1108" s="10">
        <v>0.3</v>
      </c>
      <c r="BP1108">
        <v>16</v>
      </c>
      <c r="BS1108" s="10" t="s">
        <v>515</v>
      </c>
      <c r="BT1108" t="s">
        <v>2296</v>
      </c>
      <c r="BU1108" t="s">
        <v>2355</v>
      </c>
      <c r="BV1108">
        <v>38.143680000000003</v>
      </c>
      <c r="BW1108" t="s">
        <v>454</v>
      </c>
      <c r="BX1108">
        <v>8</v>
      </c>
      <c r="BY1108">
        <v>38.56897</v>
      </c>
      <c r="BZ1108" t="s">
        <v>454</v>
      </c>
      <c r="CA1108">
        <v>8</v>
      </c>
      <c r="CB1108" t="s">
        <v>113</v>
      </c>
      <c r="CC1108" t="s">
        <v>2359</v>
      </c>
    </row>
    <row r="1109" spans="1:81" x14ac:dyDescent="0.25">
      <c r="A1109" s="10" t="s">
        <v>81</v>
      </c>
      <c r="B1109">
        <v>1108</v>
      </c>
      <c r="C1109" s="10">
        <v>158</v>
      </c>
      <c r="D1109">
        <v>147</v>
      </c>
      <c r="E1109" s="10">
        <v>255</v>
      </c>
      <c r="F1109" s="10">
        <v>272</v>
      </c>
      <c r="G1109" s="10">
        <v>602</v>
      </c>
      <c r="H1109" s="10">
        <v>973</v>
      </c>
      <c r="I1109" s="10" t="s">
        <v>2194</v>
      </c>
      <c r="J1109" s="10" t="s">
        <v>304</v>
      </c>
      <c r="L1109" t="s">
        <v>2353</v>
      </c>
      <c r="M1109" s="10" t="s">
        <v>85</v>
      </c>
      <c r="O1109" s="10" t="s">
        <v>14</v>
      </c>
      <c r="P1109" s="10" t="s">
        <v>2346</v>
      </c>
      <c r="Q1109" s="10" t="s">
        <v>2344</v>
      </c>
      <c r="R1109" s="10">
        <v>1975</v>
      </c>
      <c r="S1109" s="10" t="s">
        <v>2345</v>
      </c>
      <c r="U1109" s="9" t="s">
        <v>2347</v>
      </c>
      <c r="V1109" s="10" t="s">
        <v>2348</v>
      </c>
      <c r="W1109" s="10" t="s">
        <v>91</v>
      </c>
      <c r="X1109" s="10" t="s">
        <v>126</v>
      </c>
      <c r="Y1109" s="10" t="s">
        <v>255</v>
      </c>
      <c r="Z1109" s="10" t="s">
        <v>2349</v>
      </c>
      <c r="AA1109" s="10" t="s">
        <v>2350</v>
      </c>
      <c r="AB1109" s="10" t="s">
        <v>2351</v>
      </c>
      <c r="AC1109" s="10" t="s">
        <v>2352</v>
      </c>
      <c r="AD1109" s="10" t="s">
        <v>132</v>
      </c>
      <c r="AE1109" s="10" t="s">
        <v>133</v>
      </c>
      <c r="AF1109" s="10" t="s">
        <v>100</v>
      </c>
      <c r="AG1109" s="10" t="s">
        <v>261</v>
      </c>
      <c r="AH1109" s="10" t="s">
        <v>102</v>
      </c>
      <c r="AI1109" s="10" t="s">
        <v>103</v>
      </c>
      <c r="AJ1109" s="10" t="s">
        <v>135</v>
      </c>
      <c r="AL1109">
        <v>20</v>
      </c>
      <c r="AM1109" t="s">
        <v>843</v>
      </c>
      <c r="AN1109" t="s">
        <v>106</v>
      </c>
      <c r="AW1109" s="10" t="s">
        <v>108</v>
      </c>
      <c r="AY1109" t="s">
        <v>103</v>
      </c>
      <c r="AZ1109" s="10" t="s">
        <v>109</v>
      </c>
      <c r="BA1109" s="10" t="s">
        <v>138</v>
      </c>
      <c r="BB1109" s="10">
        <v>28</v>
      </c>
      <c r="BC1109" s="10">
        <v>32</v>
      </c>
      <c r="BD1109">
        <v>0.1</v>
      </c>
      <c r="BE1109" s="10" t="s">
        <v>139</v>
      </c>
      <c r="BG1109" s="10">
        <v>0.3</v>
      </c>
      <c r="BP1109">
        <v>16</v>
      </c>
      <c r="BS1109" s="10" t="s">
        <v>515</v>
      </c>
      <c r="BT1109" t="s">
        <v>2296</v>
      </c>
      <c r="BU1109" t="s">
        <v>2355</v>
      </c>
      <c r="BV1109">
        <v>38.56897</v>
      </c>
      <c r="BW1109" t="s">
        <v>454</v>
      </c>
      <c r="BX1109">
        <v>8</v>
      </c>
      <c r="BY1109">
        <v>39.275860000000002</v>
      </c>
      <c r="BZ1109" t="s">
        <v>454</v>
      </c>
      <c r="CA1109">
        <v>8</v>
      </c>
      <c r="CB1109" t="s">
        <v>113</v>
      </c>
      <c r="CC1109" t="s">
        <v>2359</v>
      </c>
    </row>
    <row r="1110" spans="1:81" x14ac:dyDescent="0.25">
      <c r="A1110" s="10" t="s">
        <v>81</v>
      </c>
      <c r="B1110">
        <v>1109</v>
      </c>
      <c r="C1110" s="10">
        <v>158</v>
      </c>
      <c r="D1110">
        <v>147</v>
      </c>
      <c r="E1110" s="10">
        <v>255</v>
      </c>
      <c r="F1110" s="10">
        <v>272</v>
      </c>
      <c r="G1110" s="10">
        <v>602</v>
      </c>
      <c r="H1110" s="10">
        <v>974</v>
      </c>
      <c r="I1110" s="10" t="s">
        <v>2194</v>
      </c>
      <c r="J1110" s="10" t="s">
        <v>304</v>
      </c>
      <c r="L1110" t="s">
        <v>2353</v>
      </c>
      <c r="M1110" s="10" t="s">
        <v>85</v>
      </c>
      <c r="O1110" s="10" t="s">
        <v>14</v>
      </c>
      <c r="P1110" s="10" t="s">
        <v>2346</v>
      </c>
      <c r="Q1110" s="10" t="s">
        <v>2344</v>
      </c>
      <c r="R1110" s="10">
        <v>1975</v>
      </c>
      <c r="S1110" s="10" t="s">
        <v>2345</v>
      </c>
      <c r="U1110" s="9" t="s">
        <v>2347</v>
      </c>
      <c r="V1110" s="10" t="s">
        <v>2348</v>
      </c>
      <c r="W1110" s="10" t="s">
        <v>91</v>
      </c>
      <c r="X1110" s="10" t="s">
        <v>126</v>
      </c>
      <c r="Y1110" s="10" t="s">
        <v>255</v>
      </c>
      <c r="Z1110" s="10" t="s">
        <v>2349</v>
      </c>
      <c r="AA1110" s="10" t="s">
        <v>2350</v>
      </c>
      <c r="AB1110" s="10" t="s">
        <v>2351</v>
      </c>
      <c r="AC1110" s="10" t="s">
        <v>2352</v>
      </c>
      <c r="AD1110" s="10" t="s">
        <v>132</v>
      </c>
      <c r="AE1110" s="10" t="s">
        <v>133</v>
      </c>
      <c r="AF1110" s="10" t="s">
        <v>100</v>
      </c>
      <c r="AG1110" s="10" t="s">
        <v>261</v>
      </c>
      <c r="AH1110" s="10" t="s">
        <v>102</v>
      </c>
      <c r="AI1110" s="10" t="s">
        <v>103</v>
      </c>
      <c r="AJ1110" s="10" t="s">
        <v>135</v>
      </c>
      <c r="AL1110">
        <v>20</v>
      </c>
      <c r="AM1110" t="s">
        <v>843</v>
      </c>
      <c r="AN1110" t="s">
        <v>106</v>
      </c>
      <c r="AW1110" s="10" t="s">
        <v>108</v>
      </c>
      <c r="AY1110" t="s">
        <v>103</v>
      </c>
      <c r="AZ1110" s="10" t="s">
        <v>109</v>
      </c>
      <c r="BA1110" s="10" t="s">
        <v>138</v>
      </c>
      <c r="BB1110" s="10">
        <v>32</v>
      </c>
      <c r="BC1110" s="10">
        <v>36</v>
      </c>
      <c r="BD1110">
        <v>0.1</v>
      </c>
      <c r="BE1110" s="10" t="s">
        <v>139</v>
      </c>
      <c r="BG1110" s="10">
        <v>0.3</v>
      </c>
      <c r="BP1110">
        <v>16</v>
      </c>
      <c r="BS1110" s="10" t="s">
        <v>515</v>
      </c>
      <c r="BT1110" t="s">
        <v>2296</v>
      </c>
      <c r="BU1110" t="s">
        <v>2355</v>
      </c>
      <c r="BV1110">
        <v>39.275860000000002</v>
      </c>
      <c r="BW1110" t="s">
        <v>454</v>
      </c>
      <c r="BX1110">
        <v>8</v>
      </c>
      <c r="BY1110">
        <v>39.747129999999999</v>
      </c>
      <c r="BZ1110" t="s">
        <v>454</v>
      </c>
      <c r="CA1110">
        <v>8</v>
      </c>
      <c r="CB1110" t="s">
        <v>113</v>
      </c>
      <c r="CC1110" t="s">
        <v>2359</v>
      </c>
    </row>
    <row r="1111" spans="1:81" x14ac:dyDescent="0.25">
      <c r="A1111" s="10" t="s">
        <v>81</v>
      </c>
      <c r="B1111">
        <v>1110</v>
      </c>
      <c r="C1111" s="10">
        <v>158</v>
      </c>
      <c r="D1111">
        <v>147</v>
      </c>
      <c r="E1111" s="10">
        <v>255</v>
      </c>
      <c r="F1111" s="10">
        <v>272</v>
      </c>
      <c r="G1111" s="10">
        <v>603</v>
      </c>
      <c r="H1111" s="10">
        <v>975</v>
      </c>
      <c r="I1111" s="10" t="s">
        <v>2194</v>
      </c>
      <c r="J1111" s="10" t="s">
        <v>304</v>
      </c>
      <c r="L1111" t="s">
        <v>2353</v>
      </c>
      <c r="M1111" s="10" t="s">
        <v>85</v>
      </c>
      <c r="O1111" s="10" t="s">
        <v>14</v>
      </c>
      <c r="P1111" s="10" t="s">
        <v>2346</v>
      </c>
      <c r="Q1111" s="10" t="s">
        <v>2344</v>
      </c>
      <c r="R1111" s="10">
        <v>1975</v>
      </c>
      <c r="S1111" s="10" t="s">
        <v>2345</v>
      </c>
      <c r="U1111" s="9" t="s">
        <v>2347</v>
      </c>
      <c r="V1111" s="10" t="s">
        <v>2348</v>
      </c>
      <c r="W1111" s="10" t="s">
        <v>91</v>
      </c>
      <c r="X1111" s="10" t="s">
        <v>126</v>
      </c>
      <c r="Y1111" s="10" t="s">
        <v>255</v>
      </c>
      <c r="Z1111" s="10" t="s">
        <v>2349</v>
      </c>
      <c r="AA1111" s="10" t="s">
        <v>2350</v>
      </c>
      <c r="AB1111" s="10" t="s">
        <v>2351</v>
      </c>
      <c r="AC1111" s="10" t="s">
        <v>2352</v>
      </c>
      <c r="AD1111" s="10" t="s">
        <v>132</v>
      </c>
      <c r="AE1111" s="10" t="s">
        <v>133</v>
      </c>
      <c r="AF1111" s="10" t="s">
        <v>100</v>
      </c>
      <c r="AG1111" s="10" t="s">
        <v>261</v>
      </c>
      <c r="AH1111" s="10" t="s">
        <v>102</v>
      </c>
      <c r="AI1111" s="10" t="s">
        <v>103</v>
      </c>
      <c r="AJ1111" s="10" t="s">
        <v>135</v>
      </c>
      <c r="AL1111">
        <v>24</v>
      </c>
      <c r="AM1111" t="s">
        <v>843</v>
      </c>
      <c r="AN1111" t="s">
        <v>106</v>
      </c>
      <c r="AW1111" s="10" t="s">
        <v>108</v>
      </c>
      <c r="AY1111" t="s">
        <v>134</v>
      </c>
      <c r="AZ1111" s="10" t="s">
        <v>109</v>
      </c>
      <c r="BA1111" s="10" t="s">
        <v>138</v>
      </c>
      <c r="BB1111" s="10">
        <v>24</v>
      </c>
      <c r="BC1111" s="10">
        <v>28</v>
      </c>
      <c r="BD1111">
        <v>0.1</v>
      </c>
      <c r="BE1111" s="10" t="s">
        <v>139</v>
      </c>
      <c r="BG1111" s="10">
        <v>0.3</v>
      </c>
      <c r="BP1111">
        <v>16</v>
      </c>
      <c r="BS1111" s="10" t="s">
        <v>515</v>
      </c>
      <c r="BT1111" t="s">
        <v>2296</v>
      </c>
      <c r="BU1111" t="s">
        <v>2354</v>
      </c>
      <c r="BV1111">
        <v>40.431040000000003</v>
      </c>
      <c r="BW1111" t="s">
        <v>454</v>
      </c>
      <c r="BX1111">
        <v>8</v>
      </c>
      <c r="BY1111">
        <v>40.482759999999999</v>
      </c>
      <c r="BZ1111" t="s">
        <v>454</v>
      </c>
      <c r="CA1111">
        <v>8</v>
      </c>
      <c r="CB1111" t="s">
        <v>113</v>
      </c>
      <c r="CC1111" t="s">
        <v>2359</v>
      </c>
    </row>
    <row r="1112" spans="1:81" x14ac:dyDescent="0.25">
      <c r="A1112" s="10" t="s">
        <v>81</v>
      </c>
      <c r="B1112">
        <v>1111</v>
      </c>
      <c r="C1112" s="10">
        <v>158</v>
      </c>
      <c r="D1112">
        <v>147</v>
      </c>
      <c r="E1112" s="10">
        <v>255</v>
      </c>
      <c r="F1112" s="10">
        <v>272</v>
      </c>
      <c r="G1112" s="10">
        <v>603</v>
      </c>
      <c r="H1112" s="10">
        <v>976</v>
      </c>
      <c r="I1112" s="10" t="s">
        <v>2194</v>
      </c>
      <c r="J1112" s="10" t="s">
        <v>304</v>
      </c>
      <c r="L1112" t="s">
        <v>2353</v>
      </c>
      <c r="M1112" s="10" t="s">
        <v>85</v>
      </c>
      <c r="O1112" s="10" t="s">
        <v>14</v>
      </c>
      <c r="P1112" s="10" t="s">
        <v>2346</v>
      </c>
      <c r="Q1112" s="10" t="s">
        <v>2344</v>
      </c>
      <c r="R1112" s="10">
        <v>1975</v>
      </c>
      <c r="S1112" s="10" t="s">
        <v>2345</v>
      </c>
      <c r="U1112" s="9" t="s">
        <v>2347</v>
      </c>
      <c r="V1112" s="10" t="s">
        <v>2348</v>
      </c>
      <c r="W1112" s="10" t="s">
        <v>91</v>
      </c>
      <c r="X1112" s="10" t="s">
        <v>126</v>
      </c>
      <c r="Y1112" s="10" t="s">
        <v>255</v>
      </c>
      <c r="Z1112" s="10" t="s">
        <v>2349</v>
      </c>
      <c r="AA1112" s="10" t="s">
        <v>2350</v>
      </c>
      <c r="AB1112" s="10" t="s">
        <v>2351</v>
      </c>
      <c r="AC1112" s="10" t="s">
        <v>2352</v>
      </c>
      <c r="AD1112" s="10" t="s">
        <v>132</v>
      </c>
      <c r="AE1112" s="10" t="s">
        <v>133</v>
      </c>
      <c r="AF1112" s="10" t="s">
        <v>100</v>
      </c>
      <c r="AG1112" s="10" t="s">
        <v>261</v>
      </c>
      <c r="AH1112" s="10" t="s">
        <v>102</v>
      </c>
      <c r="AI1112" s="10" t="s">
        <v>103</v>
      </c>
      <c r="AJ1112" s="10" t="s">
        <v>135</v>
      </c>
      <c r="AL1112">
        <v>24</v>
      </c>
      <c r="AM1112" t="s">
        <v>843</v>
      </c>
      <c r="AN1112" t="s">
        <v>106</v>
      </c>
      <c r="AW1112" s="10" t="s">
        <v>108</v>
      </c>
      <c r="AY1112" t="s">
        <v>103</v>
      </c>
      <c r="AZ1112" s="10" t="s">
        <v>109</v>
      </c>
      <c r="BA1112" s="10" t="s">
        <v>138</v>
      </c>
      <c r="BB1112" s="10">
        <v>28</v>
      </c>
      <c r="BC1112" s="10">
        <v>32</v>
      </c>
      <c r="BD1112">
        <v>0.1</v>
      </c>
      <c r="BE1112" s="10" t="s">
        <v>139</v>
      </c>
      <c r="BG1112" s="10">
        <v>0.3</v>
      </c>
      <c r="BP1112">
        <v>16</v>
      </c>
      <c r="BS1112" s="10" t="s">
        <v>515</v>
      </c>
      <c r="BT1112" t="s">
        <v>2296</v>
      </c>
      <c r="BU1112" t="s">
        <v>2354</v>
      </c>
      <c r="BV1112">
        <v>40.482759999999999</v>
      </c>
      <c r="BW1112" t="s">
        <v>454</v>
      </c>
      <c r="BX1112">
        <v>8</v>
      </c>
      <c r="BY1112">
        <v>40.885060000000003</v>
      </c>
      <c r="BZ1112" t="s">
        <v>454</v>
      </c>
      <c r="CA1112">
        <v>8</v>
      </c>
      <c r="CB1112" t="s">
        <v>113</v>
      </c>
      <c r="CC1112" t="s">
        <v>2359</v>
      </c>
    </row>
    <row r="1113" spans="1:81" x14ac:dyDescent="0.25">
      <c r="A1113" s="10" t="s">
        <v>81</v>
      </c>
      <c r="B1113">
        <v>1112</v>
      </c>
      <c r="C1113" s="10">
        <v>158</v>
      </c>
      <c r="D1113">
        <v>147</v>
      </c>
      <c r="E1113" s="10">
        <v>255</v>
      </c>
      <c r="F1113" s="10">
        <v>272</v>
      </c>
      <c r="G1113" s="10">
        <v>603</v>
      </c>
      <c r="H1113" s="10">
        <v>977</v>
      </c>
      <c r="I1113" s="10" t="s">
        <v>2194</v>
      </c>
      <c r="J1113" s="10" t="s">
        <v>304</v>
      </c>
      <c r="L1113" t="s">
        <v>2353</v>
      </c>
      <c r="M1113" s="10" t="s">
        <v>85</v>
      </c>
      <c r="O1113" s="10" t="s">
        <v>14</v>
      </c>
      <c r="P1113" s="10" t="s">
        <v>2346</v>
      </c>
      <c r="Q1113" s="10" t="s">
        <v>2344</v>
      </c>
      <c r="R1113" s="10">
        <v>1975</v>
      </c>
      <c r="S1113" s="10" t="s">
        <v>2345</v>
      </c>
      <c r="U1113" s="9" t="s">
        <v>2347</v>
      </c>
      <c r="V1113" s="10" t="s">
        <v>2348</v>
      </c>
      <c r="W1113" s="10" t="s">
        <v>91</v>
      </c>
      <c r="X1113" s="10" t="s">
        <v>126</v>
      </c>
      <c r="Y1113" s="10" t="s">
        <v>255</v>
      </c>
      <c r="Z1113" s="10" t="s">
        <v>2349</v>
      </c>
      <c r="AA1113" s="10" t="s">
        <v>2350</v>
      </c>
      <c r="AB1113" s="10" t="s">
        <v>2351</v>
      </c>
      <c r="AC1113" s="10" t="s">
        <v>2352</v>
      </c>
      <c r="AD1113" s="10" t="s">
        <v>132</v>
      </c>
      <c r="AE1113" s="10" t="s">
        <v>133</v>
      </c>
      <c r="AF1113" s="10" t="s">
        <v>100</v>
      </c>
      <c r="AG1113" s="10" t="s">
        <v>261</v>
      </c>
      <c r="AH1113" s="10" t="s">
        <v>102</v>
      </c>
      <c r="AI1113" s="10" t="s">
        <v>103</v>
      </c>
      <c r="AJ1113" s="10" t="s">
        <v>135</v>
      </c>
      <c r="AL1113">
        <v>24</v>
      </c>
      <c r="AM1113" t="s">
        <v>843</v>
      </c>
      <c r="AN1113" t="s">
        <v>106</v>
      </c>
      <c r="AW1113" s="10" t="s">
        <v>108</v>
      </c>
      <c r="AY1113" t="s">
        <v>103</v>
      </c>
      <c r="AZ1113" s="10" t="s">
        <v>109</v>
      </c>
      <c r="BA1113" s="10" t="s">
        <v>138</v>
      </c>
      <c r="BB1113" s="10">
        <v>32</v>
      </c>
      <c r="BC1113" s="10">
        <v>36</v>
      </c>
      <c r="BD1113">
        <v>0.1</v>
      </c>
      <c r="BE1113" s="10" t="s">
        <v>139</v>
      </c>
      <c r="BG1113" s="10">
        <v>0.3</v>
      </c>
      <c r="BP1113">
        <v>16</v>
      </c>
      <c r="BS1113" s="10" t="s">
        <v>515</v>
      </c>
      <c r="BT1113" t="s">
        <v>2296</v>
      </c>
      <c r="BU1113" t="s">
        <v>2354</v>
      </c>
      <c r="BV1113">
        <v>40.885060000000003</v>
      </c>
      <c r="BW1113" t="s">
        <v>454</v>
      </c>
      <c r="BX1113">
        <v>8</v>
      </c>
      <c r="BY1113">
        <v>40.862070000000003</v>
      </c>
      <c r="BZ1113" t="s">
        <v>454</v>
      </c>
      <c r="CA1113">
        <v>8</v>
      </c>
      <c r="CB1113" t="s">
        <v>113</v>
      </c>
      <c r="CC1113" t="s">
        <v>2359</v>
      </c>
    </row>
    <row r="1114" spans="1:81" x14ac:dyDescent="0.25">
      <c r="A1114" s="10" t="s">
        <v>81</v>
      </c>
      <c r="B1114">
        <v>1113</v>
      </c>
      <c r="C1114" s="10">
        <v>158</v>
      </c>
      <c r="D1114">
        <v>147</v>
      </c>
      <c r="E1114" s="10">
        <v>255</v>
      </c>
      <c r="F1114" s="10">
        <v>272</v>
      </c>
      <c r="G1114" s="10">
        <v>604</v>
      </c>
      <c r="H1114" s="10">
        <v>978</v>
      </c>
      <c r="I1114" s="10" t="s">
        <v>2194</v>
      </c>
      <c r="J1114" s="10" t="s">
        <v>304</v>
      </c>
      <c r="L1114" t="s">
        <v>2353</v>
      </c>
      <c r="M1114" s="10" t="s">
        <v>85</v>
      </c>
      <c r="O1114" s="10" t="s">
        <v>14</v>
      </c>
      <c r="P1114" s="10" t="s">
        <v>2346</v>
      </c>
      <c r="Q1114" s="10" t="s">
        <v>2344</v>
      </c>
      <c r="R1114" s="10">
        <v>1975</v>
      </c>
      <c r="S1114" s="10" t="s">
        <v>2345</v>
      </c>
      <c r="U1114" s="9" t="s">
        <v>2347</v>
      </c>
      <c r="V1114" s="10" t="s">
        <v>2348</v>
      </c>
      <c r="W1114" s="10" t="s">
        <v>91</v>
      </c>
      <c r="X1114" s="10" t="s">
        <v>126</v>
      </c>
      <c r="Y1114" s="10" t="s">
        <v>255</v>
      </c>
      <c r="Z1114" s="10" t="s">
        <v>2349</v>
      </c>
      <c r="AA1114" s="10" t="s">
        <v>2350</v>
      </c>
      <c r="AB1114" s="10" t="s">
        <v>2351</v>
      </c>
      <c r="AC1114" s="10" t="s">
        <v>2352</v>
      </c>
      <c r="AD1114" s="10" t="s">
        <v>132</v>
      </c>
      <c r="AE1114" s="10" t="s">
        <v>133</v>
      </c>
      <c r="AF1114" s="10" t="s">
        <v>100</v>
      </c>
      <c r="AG1114" s="10" t="s">
        <v>261</v>
      </c>
      <c r="AH1114" s="10" t="s">
        <v>102</v>
      </c>
      <c r="AI1114" s="10" t="s">
        <v>103</v>
      </c>
      <c r="AJ1114" s="10" t="s">
        <v>135</v>
      </c>
      <c r="AL1114">
        <v>28</v>
      </c>
      <c r="AM1114" t="s">
        <v>843</v>
      </c>
      <c r="AN1114" t="s">
        <v>106</v>
      </c>
      <c r="AW1114" s="10" t="s">
        <v>108</v>
      </c>
      <c r="AY1114" t="s">
        <v>134</v>
      </c>
      <c r="AZ1114" s="10" t="s">
        <v>109</v>
      </c>
      <c r="BA1114" s="10" t="s">
        <v>138</v>
      </c>
      <c r="BB1114" s="10">
        <v>24</v>
      </c>
      <c r="BC1114" s="10">
        <v>28</v>
      </c>
      <c r="BD1114">
        <v>0.1</v>
      </c>
      <c r="BE1114" s="10" t="s">
        <v>139</v>
      </c>
      <c r="BG1114" s="10">
        <v>0.3</v>
      </c>
      <c r="BP1114">
        <v>16</v>
      </c>
      <c r="BS1114" s="10" t="s">
        <v>515</v>
      </c>
      <c r="BT1114" t="s">
        <v>2296</v>
      </c>
      <c r="BU1114" t="s">
        <v>2356</v>
      </c>
      <c r="BV1114">
        <v>41.965519999999998</v>
      </c>
      <c r="BW1114" t="s">
        <v>454</v>
      </c>
      <c r="BX1114">
        <v>8</v>
      </c>
      <c r="BY1114">
        <v>42.02299</v>
      </c>
      <c r="BZ1114" t="s">
        <v>454</v>
      </c>
      <c r="CA1114">
        <v>8</v>
      </c>
      <c r="CB1114" t="s">
        <v>113</v>
      </c>
      <c r="CC1114" t="s">
        <v>2359</v>
      </c>
    </row>
    <row r="1115" spans="1:81" x14ac:dyDescent="0.25">
      <c r="A1115" s="10" t="s">
        <v>81</v>
      </c>
      <c r="B1115">
        <v>1114</v>
      </c>
      <c r="C1115" s="10">
        <v>158</v>
      </c>
      <c r="D1115">
        <v>147</v>
      </c>
      <c r="E1115" s="10">
        <v>255</v>
      </c>
      <c r="F1115" s="10">
        <v>272</v>
      </c>
      <c r="G1115" s="10">
        <v>604</v>
      </c>
      <c r="H1115" s="10">
        <v>979</v>
      </c>
      <c r="I1115" s="10" t="s">
        <v>2194</v>
      </c>
      <c r="J1115" s="10" t="s">
        <v>304</v>
      </c>
      <c r="L1115" t="s">
        <v>2353</v>
      </c>
      <c r="M1115" s="10" t="s">
        <v>85</v>
      </c>
      <c r="O1115" s="10" t="s">
        <v>14</v>
      </c>
      <c r="P1115" s="10" t="s">
        <v>2346</v>
      </c>
      <c r="Q1115" s="10" t="s">
        <v>2344</v>
      </c>
      <c r="R1115" s="10">
        <v>1975</v>
      </c>
      <c r="S1115" s="10" t="s">
        <v>2345</v>
      </c>
      <c r="U1115" s="9" t="s">
        <v>2347</v>
      </c>
      <c r="V1115" s="10" t="s">
        <v>2348</v>
      </c>
      <c r="W1115" s="10" t="s">
        <v>91</v>
      </c>
      <c r="X1115" s="10" t="s">
        <v>126</v>
      </c>
      <c r="Y1115" s="10" t="s">
        <v>255</v>
      </c>
      <c r="Z1115" s="10" t="s">
        <v>2349</v>
      </c>
      <c r="AA1115" s="10" t="s">
        <v>2350</v>
      </c>
      <c r="AB1115" s="10" t="s">
        <v>2351</v>
      </c>
      <c r="AC1115" s="10" t="s">
        <v>2352</v>
      </c>
      <c r="AD1115" s="10" t="s">
        <v>132</v>
      </c>
      <c r="AE1115" s="10" t="s">
        <v>133</v>
      </c>
      <c r="AF1115" s="10" t="s">
        <v>100</v>
      </c>
      <c r="AG1115" s="10" t="s">
        <v>261</v>
      </c>
      <c r="AH1115" s="10" t="s">
        <v>102</v>
      </c>
      <c r="AI1115" s="10" t="s">
        <v>103</v>
      </c>
      <c r="AJ1115" s="10" t="s">
        <v>135</v>
      </c>
      <c r="AL1115">
        <v>28</v>
      </c>
      <c r="AM1115" t="s">
        <v>843</v>
      </c>
      <c r="AN1115" t="s">
        <v>106</v>
      </c>
      <c r="AW1115" s="10" t="s">
        <v>108</v>
      </c>
      <c r="AY1115" t="s">
        <v>134</v>
      </c>
      <c r="AZ1115" s="10" t="s">
        <v>109</v>
      </c>
      <c r="BA1115" s="10" t="s">
        <v>138</v>
      </c>
      <c r="BB1115" s="10">
        <v>28</v>
      </c>
      <c r="BC1115" s="10">
        <v>32</v>
      </c>
      <c r="BD1115">
        <v>0.1</v>
      </c>
      <c r="BE1115" s="10" t="s">
        <v>139</v>
      </c>
      <c r="BG1115" s="10">
        <v>0.3</v>
      </c>
      <c r="BP1115">
        <v>16</v>
      </c>
      <c r="BS1115" s="10" t="s">
        <v>515</v>
      </c>
      <c r="BT1115" t="s">
        <v>2296</v>
      </c>
      <c r="BU1115" t="s">
        <v>2356</v>
      </c>
      <c r="BV1115">
        <v>42.02299</v>
      </c>
      <c r="BW1115" t="s">
        <v>454</v>
      </c>
      <c r="BX1115">
        <v>8</v>
      </c>
      <c r="BY1115">
        <v>41.402299999999997</v>
      </c>
      <c r="BZ1115" t="s">
        <v>454</v>
      </c>
      <c r="CA1115">
        <v>8</v>
      </c>
      <c r="CB1115" t="s">
        <v>113</v>
      </c>
      <c r="CC1115" t="s">
        <v>2359</v>
      </c>
    </row>
    <row r="1116" spans="1:81" x14ac:dyDescent="0.25">
      <c r="A1116" s="10" t="s">
        <v>81</v>
      </c>
      <c r="B1116">
        <v>1115</v>
      </c>
      <c r="C1116" s="10">
        <v>158</v>
      </c>
      <c r="D1116">
        <v>147</v>
      </c>
      <c r="E1116" s="10">
        <v>255</v>
      </c>
      <c r="F1116" s="10">
        <v>272</v>
      </c>
      <c r="G1116" s="10">
        <v>605</v>
      </c>
      <c r="H1116" s="10">
        <v>980</v>
      </c>
      <c r="I1116" s="10" t="s">
        <v>2194</v>
      </c>
      <c r="J1116" s="10" t="s">
        <v>304</v>
      </c>
      <c r="L1116" t="s">
        <v>2353</v>
      </c>
      <c r="M1116" s="10" t="s">
        <v>85</v>
      </c>
      <c r="O1116" s="10" t="s">
        <v>14</v>
      </c>
      <c r="P1116" s="10" t="s">
        <v>2346</v>
      </c>
      <c r="Q1116" s="10" t="s">
        <v>2344</v>
      </c>
      <c r="R1116" s="10">
        <v>1975</v>
      </c>
      <c r="S1116" s="10" t="s">
        <v>2345</v>
      </c>
      <c r="U1116" s="9" t="s">
        <v>2347</v>
      </c>
      <c r="V1116" s="10" t="s">
        <v>2348</v>
      </c>
      <c r="W1116" s="10" t="s">
        <v>91</v>
      </c>
      <c r="X1116" s="10" t="s">
        <v>126</v>
      </c>
      <c r="Y1116" s="10" t="s">
        <v>255</v>
      </c>
      <c r="Z1116" s="10" t="s">
        <v>2349</v>
      </c>
      <c r="AA1116" s="10" t="s">
        <v>2350</v>
      </c>
      <c r="AB1116" s="10" t="s">
        <v>2351</v>
      </c>
      <c r="AC1116" s="10" t="s">
        <v>2352</v>
      </c>
      <c r="AD1116" s="10" t="s">
        <v>132</v>
      </c>
      <c r="AE1116" s="10" t="s">
        <v>133</v>
      </c>
      <c r="AF1116" s="10" t="s">
        <v>100</v>
      </c>
      <c r="AG1116" s="10" t="s">
        <v>261</v>
      </c>
      <c r="AH1116" s="10" t="s">
        <v>102</v>
      </c>
      <c r="AI1116" s="10" t="s">
        <v>103</v>
      </c>
      <c r="AJ1116" s="10" t="s">
        <v>135</v>
      </c>
      <c r="AL1116">
        <v>32</v>
      </c>
      <c r="AM1116" t="s">
        <v>843</v>
      </c>
      <c r="AN1116" t="s">
        <v>106</v>
      </c>
      <c r="AW1116" s="10" t="s">
        <v>108</v>
      </c>
      <c r="AY1116" t="s">
        <v>103</v>
      </c>
      <c r="AZ1116" s="10" t="s">
        <v>109</v>
      </c>
      <c r="BA1116" s="10" t="s">
        <v>138</v>
      </c>
      <c r="BB1116" s="10">
        <v>24</v>
      </c>
      <c r="BC1116" s="10">
        <v>28</v>
      </c>
      <c r="BD1116">
        <v>0.1</v>
      </c>
      <c r="BE1116" s="10" t="s">
        <v>139</v>
      </c>
      <c r="BG1116" s="10">
        <v>0.3</v>
      </c>
      <c r="BP1116">
        <v>16</v>
      </c>
      <c r="BS1116" s="10" t="s">
        <v>515</v>
      </c>
      <c r="BT1116" t="s">
        <v>2296</v>
      </c>
      <c r="BU1116" t="s">
        <v>2357</v>
      </c>
      <c r="BV1116">
        <v>43.028739999999999</v>
      </c>
      <c r="BW1116" t="s">
        <v>454</v>
      </c>
      <c r="BX1116">
        <v>8</v>
      </c>
      <c r="BY1116">
        <v>43.057470000000002</v>
      </c>
      <c r="BZ1116" t="s">
        <v>454</v>
      </c>
      <c r="CA1116">
        <v>8</v>
      </c>
      <c r="CB1116" t="s">
        <v>113</v>
      </c>
      <c r="CC1116" t="s">
        <v>2359</v>
      </c>
    </row>
    <row r="1117" spans="1:81" x14ac:dyDescent="0.25">
      <c r="A1117" s="10" t="s">
        <v>81</v>
      </c>
      <c r="B1117">
        <v>1116</v>
      </c>
      <c r="C1117" s="10">
        <v>158</v>
      </c>
      <c r="D1117">
        <v>147</v>
      </c>
      <c r="E1117" s="10">
        <v>255</v>
      </c>
      <c r="F1117" s="10">
        <v>272</v>
      </c>
      <c r="G1117" s="10">
        <v>605</v>
      </c>
      <c r="H1117" s="10">
        <v>981</v>
      </c>
      <c r="I1117" s="10" t="s">
        <v>2194</v>
      </c>
      <c r="J1117" s="10" t="s">
        <v>304</v>
      </c>
      <c r="L1117" t="s">
        <v>2353</v>
      </c>
      <c r="M1117" s="10" t="s">
        <v>85</v>
      </c>
      <c r="O1117" s="10" t="s">
        <v>14</v>
      </c>
      <c r="P1117" s="10" t="s">
        <v>2346</v>
      </c>
      <c r="Q1117" s="10" t="s">
        <v>2344</v>
      </c>
      <c r="R1117" s="10">
        <v>1975</v>
      </c>
      <c r="S1117" s="10" t="s">
        <v>2345</v>
      </c>
      <c r="U1117" s="9" t="s">
        <v>2347</v>
      </c>
      <c r="V1117" s="10" t="s">
        <v>2348</v>
      </c>
      <c r="W1117" s="10" t="s">
        <v>91</v>
      </c>
      <c r="X1117" s="10" t="s">
        <v>126</v>
      </c>
      <c r="Y1117" s="10" t="s">
        <v>255</v>
      </c>
      <c r="Z1117" s="10" t="s">
        <v>2349</v>
      </c>
      <c r="AA1117" s="10" t="s">
        <v>2350</v>
      </c>
      <c r="AB1117" s="10" t="s">
        <v>2351</v>
      </c>
      <c r="AC1117" s="10" t="s">
        <v>2352</v>
      </c>
      <c r="AD1117" s="10" t="s">
        <v>132</v>
      </c>
      <c r="AE1117" s="10" t="s">
        <v>133</v>
      </c>
      <c r="AF1117" s="10" t="s">
        <v>100</v>
      </c>
      <c r="AG1117" s="10" t="s">
        <v>261</v>
      </c>
      <c r="AH1117" s="10" t="s">
        <v>102</v>
      </c>
      <c r="AI1117" s="10" t="s">
        <v>103</v>
      </c>
      <c r="AJ1117" s="10" t="s">
        <v>135</v>
      </c>
      <c r="AL1117">
        <v>32</v>
      </c>
      <c r="AM1117" t="s">
        <v>843</v>
      </c>
      <c r="AN1117" t="s">
        <v>106</v>
      </c>
      <c r="AW1117" s="10" t="s">
        <v>108</v>
      </c>
      <c r="AY1117" t="s">
        <v>134</v>
      </c>
      <c r="AZ1117" s="10" t="s">
        <v>109</v>
      </c>
      <c r="BA1117" s="10" t="s">
        <v>138</v>
      </c>
      <c r="BB1117" s="10">
        <v>28</v>
      </c>
      <c r="BC1117" s="10">
        <v>32</v>
      </c>
      <c r="BD1117">
        <v>0.1</v>
      </c>
      <c r="BE1117" s="10" t="s">
        <v>139</v>
      </c>
      <c r="BG1117" s="10">
        <v>0.3</v>
      </c>
      <c r="BP1117">
        <v>16</v>
      </c>
      <c r="BS1117" s="10" t="s">
        <v>515</v>
      </c>
      <c r="BT1117" t="s">
        <v>2296</v>
      </c>
      <c r="BU1117" t="s">
        <v>2357</v>
      </c>
      <c r="BV1117">
        <v>43.057470000000002</v>
      </c>
      <c r="BW1117" t="s">
        <v>454</v>
      </c>
      <c r="BX1117">
        <v>8</v>
      </c>
      <c r="BY1117">
        <v>42.620690000000003</v>
      </c>
      <c r="BZ1117" t="s">
        <v>454</v>
      </c>
      <c r="CA1117">
        <v>8</v>
      </c>
      <c r="CB1117" t="s">
        <v>113</v>
      </c>
      <c r="CC1117" t="s">
        <v>2359</v>
      </c>
    </row>
    <row r="1118" spans="1:81" x14ac:dyDescent="0.25">
      <c r="A1118" s="10" t="s">
        <v>81</v>
      </c>
      <c r="B1118">
        <v>1117</v>
      </c>
      <c r="C1118" s="10">
        <v>158</v>
      </c>
      <c r="D1118">
        <v>147</v>
      </c>
      <c r="E1118" s="10">
        <v>255</v>
      </c>
      <c r="F1118" s="10">
        <v>272</v>
      </c>
      <c r="G1118" s="10">
        <v>606</v>
      </c>
      <c r="H1118" s="10">
        <v>982</v>
      </c>
      <c r="I1118" s="10" t="s">
        <v>2194</v>
      </c>
      <c r="J1118" s="10" t="s">
        <v>304</v>
      </c>
      <c r="L1118" t="s">
        <v>2353</v>
      </c>
      <c r="M1118" s="10" t="s">
        <v>85</v>
      </c>
      <c r="O1118" s="10" t="s">
        <v>14</v>
      </c>
      <c r="P1118" s="10" t="s">
        <v>2346</v>
      </c>
      <c r="Q1118" s="10" t="s">
        <v>2344</v>
      </c>
      <c r="R1118" s="10">
        <v>1975</v>
      </c>
      <c r="S1118" s="10" t="s">
        <v>2345</v>
      </c>
      <c r="U1118" s="9" t="s">
        <v>2347</v>
      </c>
      <c r="V1118" s="10" t="s">
        <v>2348</v>
      </c>
      <c r="W1118" s="10" t="s">
        <v>91</v>
      </c>
      <c r="X1118" s="10" t="s">
        <v>126</v>
      </c>
      <c r="Y1118" s="10" t="s">
        <v>255</v>
      </c>
      <c r="Z1118" s="10" t="s">
        <v>2349</v>
      </c>
      <c r="AA1118" s="10" t="s">
        <v>2350</v>
      </c>
      <c r="AB1118" s="10" t="s">
        <v>2351</v>
      </c>
      <c r="AC1118" s="10" t="s">
        <v>2352</v>
      </c>
      <c r="AD1118" s="10" t="s">
        <v>132</v>
      </c>
      <c r="AE1118" s="10" t="s">
        <v>133</v>
      </c>
      <c r="AF1118" s="10" t="s">
        <v>100</v>
      </c>
      <c r="AG1118" s="10" t="s">
        <v>261</v>
      </c>
      <c r="AH1118" s="10" t="s">
        <v>102</v>
      </c>
      <c r="AI1118" s="10" t="s">
        <v>103</v>
      </c>
      <c r="AJ1118" s="10" t="s">
        <v>135</v>
      </c>
      <c r="AL1118">
        <v>36</v>
      </c>
      <c r="AM1118" t="s">
        <v>843</v>
      </c>
      <c r="AN1118" t="s">
        <v>106</v>
      </c>
      <c r="AW1118" s="10" t="s">
        <v>108</v>
      </c>
      <c r="AY1118" t="s">
        <v>103</v>
      </c>
      <c r="AZ1118" s="10" t="s">
        <v>109</v>
      </c>
      <c r="BA1118" s="10" t="s">
        <v>138</v>
      </c>
      <c r="BB1118" s="10">
        <v>24</v>
      </c>
      <c r="BC1118" s="10">
        <v>28</v>
      </c>
      <c r="BD1118">
        <v>0.1</v>
      </c>
      <c r="BE1118" s="10" t="s">
        <v>139</v>
      </c>
      <c r="BG1118" s="10">
        <v>0.3</v>
      </c>
      <c r="BP1118">
        <v>16</v>
      </c>
      <c r="BS1118" s="10" t="s">
        <v>515</v>
      </c>
      <c r="BT1118" t="s">
        <v>2296</v>
      </c>
      <c r="BU1118" t="s">
        <v>2358</v>
      </c>
      <c r="BV1118">
        <v>44.183909999999997</v>
      </c>
      <c r="BW1118" t="s">
        <v>454</v>
      </c>
      <c r="BX1118">
        <v>8</v>
      </c>
      <c r="BY1118">
        <v>44.086210000000001</v>
      </c>
      <c r="BZ1118" t="s">
        <v>454</v>
      </c>
      <c r="CA1118">
        <v>8</v>
      </c>
      <c r="CB1118" t="s">
        <v>113</v>
      </c>
      <c r="CC1118" t="s">
        <v>2359</v>
      </c>
    </row>
    <row r="1119" spans="1:81" x14ac:dyDescent="0.25">
      <c r="A1119" s="10" t="s">
        <v>81</v>
      </c>
      <c r="B1119">
        <v>1118</v>
      </c>
      <c r="C1119" s="10">
        <v>158</v>
      </c>
      <c r="D1119">
        <v>147</v>
      </c>
      <c r="E1119" s="10">
        <v>255</v>
      </c>
      <c r="F1119" s="10">
        <v>272</v>
      </c>
      <c r="G1119" s="10">
        <v>606</v>
      </c>
      <c r="H1119" s="10">
        <v>983</v>
      </c>
      <c r="I1119" s="10" t="s">
        <v>2194</v>
      </c>
      <c r="J1119" s="10" t="s">
        <v>304</v>
      </c>
      <c r="L1119" t="s">
        <v>2353</v>
      </c>
      <c r="M1119" s="10" t="s">
        <v>85</v>
      </c>
      <c r="O1119" s="10" t="s">
        <v>14</v>
      </c>
      <c r="P1119" s="10" t="s">
        <v>2346</v>
      </c>
      <c r="Q1119" s="10" t="s">
        <v>2344</v>
      </c>
      <c r="R1119" s="10">
        <v>1975</v>
      </c>
      <c r="S1119" s="10" t="s">
        <v>2345</v>
      </c>
      <c r="U1119" s="9" t="s">
        <v>2347</v>
      </c>
      <c r="V1119" s="10" t="s">
        <v>2348</v>
      </c>
      <c r="W1119" s="10" t="s">
        <v>91</v>
      </c>
      <c r="X1119" s="10" t="s">
        <v>126</v>
      </c>
      <c r="Y1119" s="10" t="s">
        <v>255</v>
      </c>
      <c r="Z1119" s="10" t="s">
        <v>2349</v>
      </c>
      <c r="AA1119" s="10" t="s">
        <v>2350</v>
      </c>
      <c r="AB1119" s="10" t="s">
        <v>2351</v>
      </c>
      <c r="AC1119" s="10" t="s">
        <v>2352</v>
      </c>
      <c r="AD1119" s="10" t="s">
        <v>132</v>
      </c>
      <c r="AE1119" s="10" t="s">
        <v>133</v>
      </c>
      <c r="AF1119" s="10" t="s">
        <v>100</v>
      </c>
      <c r="AG1119" s="10" t="s">
        <v>261</v>
      </c>
      <c r="AH1119" s="10" t="s">
        <v>102</v>
      </c>
      <c r="AI1119" s="10" t="s">
        <v>103</v>
      </c>
      <c r="AJ1119" s="10" t="s">
        <v>135</v>
      </c>
      <c r="AL1119">
        <v>36</v>
      </c>
      <c r="AM1119" t="s">
        <v>843</v>
      </c>
      <c r="AN1119" t="s">
        <v>106</v>
      </c>
      <c r="AW1119" s="10" t="s">
        <v>108</v>
      </c>
      <c r="AY1119" t="s">
        <v>103</v>
      </c>
      <c r="AZ1119" s="10" t="s">
        <v>109</v>
      </c>
      <c r="BA1119" s="10" t="s">
        <v>138</v>
      </c>
      <c r="BB1119" s="10">
        <v>28</v>
      </c>
      <c r="BC1119" s="10">
        <v>32</v>
      </c>
      <c r="BD1119">
        <v>0.1</v>
      </c>
      <c r="BE1119" s="10" t="s">
        <v>139</v>
      </c>
      <c r="BG1119" s="10">
        <v>0.3</v>
      </c>
      <c r="BP1119">
        <v>16</v>
      </c>
      <c r="BS1119" s="10" t="s">
        <v>515</v>
      </c>
      <c r="BT1119" t="s">
        <v>2296</v>
      </c>
      <c r="BU1119" t="s">
        <v>2358</v>
      </c>
      <c r="BV1119">
        <v>44.086210000000001</v>
      </c>
      <c r="BW1119" t="s">
        <v>454</v>
      </c>
      <c r="BX1119">
        <v>8</v>
      </c>
      <c r="BY1119">
        <v>44.459769999999999</v>
      </c>
      <c r="BZ1119" t="s">
        <v>454</v>
      </c>
      <c r="CA1119">
        <v>8</v>
      </c>
      <c r="CB1119" t="s">
        <v>113</v>
      </c>
      <c r="CC1119" t="s">
        <v>2359</v>
      </c>
    </row>
    <row r="1120" spans="1:81" x14ac:dyDescent="0.25">
      <c r="A1120" s="10" t="s">
        <v>81</v>
      </c>
      <c r="B1120">
        <v>1119</v>
      </c>
      <c r="C1120" s="10">
        <v>158</v>
      </c>
      <c r="D1120">
        <v>147</v>
      </c>
      <c r="E1120" s="10">
        <v>255</v>
      </c>
      <c r="F1120" s="10">
        <v>272</v>
      </c>
      <c r="G1120" s="10">
        <v>606</v>
      </c>
      <c r="H1120" s="10">
        <v>984</v>
      </c>
      <c r="I1120" s="10" t="s">
        <v>2194</v>
      </c>
      <c r="J1120" s="10" t="s">
        <v>304</v>
      </c>
      <c r="L1120" t="s">
        <v>2353</v>
      </c>
      <c r="M1120" s="10" t="s">
        <v>85</v>
      </c>
      <c r="O1120" s="10" t="s">
        <v>14</v>
      </c>
      <c r="P1120" s="10" t="s">
        <v>2346</v>
      </c>
      <c r="Q1120" s="10" t="s">
        <v>2344</v>
      </c>
      <c r="R1120" s="10">
        <v>1975</v>
      </c>
      <c r="S1120" s="10" t="s">
        <v>2345</v>
      </c>
      <c r="U1120" s="9" t="s">
        <v>2347</v>
      </c>
      <c r="V1120" s="10" t="s">
        <v>2348</v>
      </c>
      <c r="W1120" s="10" t="s">
        <v>91</v>
      </c>
      <c r="X1120" s="10" t="s">
        <v>126</v>
      </c>
      <c r="Y1120" s="10" t="s">
        <v>255</v>
      </c>
      <c r="Z1120" s="10" t="s">
        <v>2349</v>
      </c>
      <c r="AA1120" s="10" t="s">
        <v>2350</v>
      </c>
      <c r="AB1120" s="10" t="s">
        <v>2351</v>
      </c>
      <c r="AC1120" s="10" t="s">
        <v>2352</v>
      </c>
      <c r="AD1120" s="10" t="s">
        <v>132</v>
      </c>
      <c r="AE1120" s="10" t="s">
        <v>133</v>
      </c>
      <c r="AF1120" s="10" t="s">
        <v>100</v>
      </c>
      <c r="AG1120" s="10" t="s">
        <v>261</v>
      </c>
      <c r="AH1120" s="10" t="s">
        <v>102</v>
      </c>
      <c r="AI1120" s="10" t="s">
        <v>103</v>
      </c>
      <c r="AJ1120" s="10" t="s">
        <v>135</v>
      </c>
      <c r="AL1120">
        <v>36</v>
      </c>
      <c r="AM1120" t="s">
        <v>843</v>
      </c>
      <c r="AN1120" t="s">
        <v>106</v>
      </c>
      <c r="AW1120" s="10" t="s">
        <v>108</v>
      </c>
      <c r="AY1120" t="s">
        <v>134</v>
      </c>
      <c r="AZ1120" s="10" t="s">
        <v>109</v>
      </c>
      <c r="BA1120" s="10" t="s">
        <v>138</v>
      </c>
      <c r="BB1120" s="10">
        <v>32</v>
      </c>
      <c r="BC1120" s="10">
        <v>36</v>
      </c>
      <c r="BD1120">
        <v>0.1</v>
      </c>
      <c r="BE1120" s="10" t="s">
        <v>139</v>
      </c>
      <c r="BG1120" s="10">
        <v>0.3</v>
      </c>
      <c r="BP1120">
        <v>16</v>
      </c>
      <c r="BS1120" s="10" t="s">
        <v>515</v>
      </c>
      <c r="BT1120" t="s">
        <v>2296</v>
      </c>
      <c r="BU1120" t="s">
        <v>2358</v>
      </c>
      <c r="BV1120">
        <v>44.459769999999999</v>
      </c>
      <c r="BW1120" t="s">
        <v>454</v>
      </c>
      <c r="BX1120">
        <v>8</v>
      </c>
      <c r="BY1120">
        <v>43.655169999999998</v>
      </c>
      <c r="BZ1120" t="s">
        <v>454</v>
      </c>
      <c r="CA1120">
        <v>8</v>
      </c>
      <c r="CB1120" t="s">
        <v>113</v>
      </c>
      <c r="CC1120" t="s">
        <v>2359</v>
      </c>
    </row>
    <row r="1121" spans="1:81" x14ac:dyDescent="0.25">
      <c r="A1121" s="10" t="s">
        <v>81</v>
      </c>
      <c r="B1121">
        <v>1120</v>
      </c>
      <c r="C1121" s="10">
        <v>159</v>
      </c>
      <c r="D1121">
        <v>10</v>
      </c>
      <c r="E1121" s="10">
        <v>256</v>
      </c>
      <c r="F1121" s="10">
        <v>273</v>
      </c>
      <c r="G1121" s="10">
        <v>607</v>
      </c>
      <c r="H1121" s="10">
        <v>985</v>
      </c>
      <c r="I1121" s="10" t="s">
        <v>2365</v>
      </c>
      <c r="J1121" s="10" t="s">
        <v>691</v>
      </c>
      <c r="L1121" s="13"/>
      <c r="M1121" s="10" t="s">
        <v>85</v>
      </c>
      <c r="O1121" s="10" t="s">
        <v>14</v>
      </c>
      <c r="P1121" s="10" t="s">
        <v>2360</v>
      </c>
      <c r="Q1121" s="10" t="s">
        <v>2361</v>
      </c>
      <c r="R1121" s="10">
        <v>1983</v>
      </c>
      <c r="S1121" s="10" t="s">
        <v>505</v>
      </c>
      <c r="U1121" s="9" t="s">
        <v>2362</v>
      </c>
      <c r="V1121" s="10" t="s">
        <v>2363</v>
      </c>
      <c r="W1121" t="s">
        <v>91</v>
      </c>
      <c r="X1121" t="s">
        <v>126</v>
      </c>
      <c r="Y1121" t="s">
        <v>190</v>
      </c>
      <c r="Z1121" t="s">
        <v>191</v>
      </c>
      <c r="AA1121" t="s">
        <v>192</v>
      </c>
      <c r="AB1121" t="s">
        <v>227</v>
      </c>
      <c r="AC1121" t="s">
        <v>228</v>
      </c>
      <c r="AD1121" t="s">
        <v>132</v>
      </c>
      <c r="AE1121" t="s">
        <v>133</v>
      </c>
      <c r="AF1121" t="s">
        <v>100</v>
      </c>
      <c r="AG1121" s="10" t="s">
        <v>102</v>
      </c>
      <c r="AH1121" s="10" t="s">
        <v>102</v>
      </c>
      <c r="AI1121" s="10" t="s">
        <v>134</v>
      </c>
      <c r="AJ1121" s="10" t="s">
        <v>135</v>
      </c>
      <c r="AM1121" t="s">
        <v>136</v>
      </c>
      <c r="AN1121" t="s">
        <v>1184</v>
      </c>
      <c r="AU1121">
        <v>3</v>
      </c>
      <c r="AW1121" s="10" t="s">
        <v>108</v>
      </c>
      <c r="AZ1121" s="10" t="s">
        <v>212</v>
      </c>
      <c r="BA1121" s="10" t="s">
        <v>142</v>
      </c>
      <c r="BB1121" s="10">
        <v>4</v>
      </c>
      <c r="BC1121" s="10">
        <v>8</v>
      </c>
      <c r="BE1121" s="10" t="s">
        <v>139</v>
      </c>
      <c r="BF1121">
        <v>21</v>
      </c>
      <c r="BH1121">
        <v>24</v>
      </c>
      <c r="BI1121">
        <v>13</v>
      </c>
      <c r="BJ1121">
        <v>1</v>
      </c>
      <c r="BK1121">
        <v>25</v>
      </c>
      <c r="BO1121">
        <f t="shared" ref="BO1121:BO1132" si="47">(7.2+7.8)/2</f>
        <v>7.5</v>
      </c>
      <c r="BP1121">
        <v>12</v>
      </c>
      <c r="BR1121" t="s">
        <v>69</v>
      </c>
      <c r="BT1121" t="s">
        <v>2296</v>
      </c>
      <c r="BU1121" t="s">
        <v>2364</v>
      </c>
      <c r="BV1121">
        <v>22.8</v>
      </c>
      <c r="BW1121" t="s">
        <v>454</v>
      </c>
      <c r="BX1121">
        <v>13</v>
      </c>
      <c r="BY1121">
        <v>24.1</v>
      </c>
      <c r="BZ1121" t="s">
        <v>454</v>
      </c>
      <c r="CA1121">
        <v>13</v>
      </c>
      <c r="CB1121" t="s">
        <v>215</v>
      </c>
      <c r="CC1121" t="s">
        <v>2297</v>
      </c>
    </row>
    <row r="1122" spans="1:81" x14ac:dyDescent="0.25">
      <c r="A1122" s="10" t="s">
        <v>81</v>
      </c>
      <c r="B1122">
        <v>1121</v>
      </c>
      <c r="C1122" s="10">
        <v>159</v>
      </c>
      <c r="D1122">
        <v>10</v>
      </c>
      <c r="E1122" s="10">
        <v>256</v>
      </c>
      <c r="F1122" s="10">
        <v>273</v>
      </c>
      <c r="G1122" s="10">
        <v>607</v>
      </c>
      <c r="H1122" s="10">
        <v>986</v>
      </c>
      <c r="I1122" s="10" t="s">
        <v>2365</v>
      </c>
      <c r="J1122" s="10" t="s">
        <v>691</v>
      </c>
      <c r="L1122" s="13"/>
      <c r="M1122" s="10" t="s">
        <v>85</v>
      </c>
      <c r="O1122" s="10" t="s">
        <v>14</v>
      </c>
      <c r="P1122" s="10" t="s">
        <v>2360</v>
      </c>
      <c r="Q1122" s="10" t="s">
        <v>2361</v>
      </c>
      <c r="R1122" s="10">
        <v>1983</v>
      </c>
      <c r="S1122" s="10" t="s">
        <v>505</v>
      </c>
      <c r="U1122" s="9" t="s">
        <v>2362</v>
      </c>
      <c r="V1122" s="10" t="s">
        <v>2363</v>
      </c>
      <c r="W1122" t="s">
        <v>91</v>
      </c>
      <c r="X1122" t="s">
        <v>126</v>
      </c>
      <c r="Y1122" t="s">
        <v>190</v>
      </c>
      <c r="Z1122" t="s">
        <v>191</v>
      </c>
      <c r="AA1122" t="s">
        <v>192</v>
      </c>
      <c r="AB1122" t="s">
        <v>227</v>
      </c>
      <c r="AC1122" t="s">
        <v>228</v>
      </c>
      <c r="AD1122" t="s">
        <v>132</v>
      </c>
      <c r="AE1122" t="s">
        <v>133</v>
      </c>
      <c r="AF1122" t="s">
        <v>100</v>
      </c>
      <c r="AG1122" s="10" t="s">
        <v>102</v>
      </c>
      <c r="AH1122" s="10" t="s">
        <v>102</v>
      </c>
      <c r="AI1122" s="10" t="s">
        <v>134</v>
      </c>
      <c r="AJ1122" s="10" t="s">
        <v>135</v>
      </c>
      <c r="AM1122" t="s">
        <v>136</v>
      </c>
      <c r="AN1122" t="s">
        <v>1184</v>
      </c>
      <c r="AU1122">
        <v>3</v>
      </c>
      <c r="AW1122" s="10" t="s">
        <v>108</v>
      </c>
      <c r="AZ1122" s="10" t="s">
        <v>212</v>
      </c>
      <c r="BA1122" s="10" t="s">
        <v>142</v>
      </c>
      <c r="BB1122" s="10">
        <v>8</v>
      </c>
      <c r="BC1122" s="10">
        <v>12</v>
      </c>
      <c r="BE1122" s="10" t="s">
        <v>139</v>
      </c>
      <c r="BF1122">
        <v>21</v>
      </c>
      <c r="BH1122">
        <v>24</v>
      </c>
      <c r="BI1122">
        <v>13</v>
      </c>
      <c r="BJ1122">
        <v>1</v>
      </c>
      <c r="BK1122">
        <v>25</v>
      </c>
      <c r="BO1122">
        <f t="shared" si="47"/>
        <v>7.5</v>
      </c>
      <c r="BP1122">
        <v>12</v>
      </c>
      <c r="BR1122" t="s">
        <v>69</v>
      </c>
      <c r="BT1122" t="s">
        <v>2296</v>
      </c>
      <c r="BU1122" t="s">
        <v>2364</v>
      </c>
      <c r="BV1122">
        <v>24.1</v>
      </c>
      <c r="BW1122" t="s">
        <v>454</v>
      </c>
      <c r="BX1122">
        <v>13</v>
      </c>
      <c r="BY1122">
        <v>24.6</v>
      </c>
      <c r="BZ1122" t="s">
        <v>454</v>
      </c>
      <c r="CA1122">
        <v>13</v>
      </c>
      <c r="CB1122" t="s">
        <v>215</v>
      </c>
      <c r="CC1122" t="s">
        <v>2297</v>
      </c>
    </row>
    <row r="1123" spans="1:81" x14ac:dyDescent="0.25">
      <c r="A1123" s="10" t="s">
        <v>81</v>
      </c>
      <c r="B1123">
        <v>1122</v>
      </c>
      <c r="C1123" s="10">
        <v>159</v>
      </c>
      <c r="D1123">
        <v>10</v>
      </c>
      <c r="E1123" s="10">
        <v>256</v>
      </c>
      <c r="F1123" s="10">
        <v>273</v>
      </c>
      <c r="G1123" s="10">
        <v>607</v>
      </c>
      <c r="H1123" s="10">
        <v>987</v>
      </c>
      <c r="I1123" s="10" t="s">
        <v>2365</v>
      </c>
      <c r="J1123" s="10" t="s">
        <v>691</v>
      </c>
      <c r="L1123" s="13"/>
      <c r="M1123" s="10" t="s">
        <v>85</v>
      </c>
      <c r="O1123" s="10" t="s">
        <v>14</v>
      </c>
      <c r="P1123" s="10" t="s">
        <v>2360</v>
      </c>
      <c r="Q1123" s="10" t="s">
        <v>2361</v>
      </c>
      <c r="R1123" s="10">
        <v>1983</v>
      </c>
      <c r="S1123" s="10" t="s">
        <v>505</v>
      </c>
      <c r="U1123" s="9" t="s">
        <v>2362</v>
      </c>
      <c r="V1123" s="10" t="s">
        <v>2363</v>
      </c>
      <c r="W1123" t="s">
        <v>91</v>
      </c>
      <c r="X1123" t="s">
        <v>126</v>
      </c>
      <c r="Y1123" t="s">
        <v>190</v>
      </c>
      <c r="Z1123" t="s">
        <v>191</v>
      </c>
      <c r="AA1123" t="s">
        <v>192</v>
      </c>
      <c r="AB1123" t="s">
        <v>227</v>
      </c>
      <c r="AC1123" t="s">
        <v>228</v>
      </c>
      <c r="AD1123" t="s">
        <v>132</v>
      </c>
      <c r="AE1123" t="s">
        <v>133</v>
      </c>
      <c r="AF1123" t="s">
        <v>100</v>
      </c>
      <c r="AG1123" s="10" t="s">
        <v>102</v>
      </c>
      <c r="AH1123" s="10" t="s">
        <v>102</v>
      </c>
      <c r="AI1123" s="10" t="s">
        <v>134</v>
      </c>
      <c r="AJ1123" s="10" t="s">
        <v>135</v>
      </c>
      <c r="AM1123" t="s">
        <v>136</v>
      </c>
      <c r="AN1123" t="s">
        <v>1184</v>
      </c>
      <c r="AU1123">
        <v>3</v>
      </c>
      <c r="AW1123" s="10" t="s">
        <v>108</v>
      </c>
      <c r="AZ1123" s="10" t="s">
        <v>212</v>
      </c>
      <c r="BA1123" s="10" t="s">
        <v>142</v>
      </c>
      <c r="BB1123" s="10">
        <v>12</v>
      </c>
      <c r="BC1123" s="10">
        <v>16</v>
      </c>
      <c r="BE1123" s="10" t="s">
        <v>139</v>
      </c>
      <c r="BF1123">
        <v>21</v>
      </c>
      <c r="BH1123">
        <v>24</v>
      </c>
      <c r="BI1123">
        <v>13</v>
      </c>
      <c r="BJ1123">
        <v>1</v>
      </c>
      <c r="BK1123">
        <v>25</v>
      </c>
      <c r="BO1123">
        <f t="shared" si="47"/>
        <v>7.5</v>
      </c>
      <c r="BP1123">
        <v>12</v>
      </c>
      <c r="BR1123" t="s">
        <v>69</v>
      </c>
      <c r="BT1123" t="s">
        <v>2296</v>
      </c>
      <c r="BU1123" t="s">
        <v>2364</v>
      </c>
      <c r="BV1123">
        <v>24.6</v>
      </c>
      <c r="BW1123" t="s">
        <v>454</v>
      </c>
      <c r="BX1123">
        <v>13</v>
      </c>
      <c r="BY1123">
        <v>25.4</v>
      </c>
      <c r="BZ1123" t="s">
        <v>454</v>
      </c>
      <c r="CA1123">
        <v>13</v>
      </c>
      <c r="CB1123" t="s">
        <v>215</v>
      </c>
      <c r="CC1123" t="s">
        <v>2297</v>
      </c>
    </row>
    <row r="1124" spans="1:81" x14ac:dyDescent="0.25">
      <c r="A1124" s="10" t="s">
        <v>81</v>
      </c>
      <c r="B1124">
        <v>1123</v>
      </c>
      <c r="C1124" s="10">
        <v>159</v>
      </c>
      <c r="D1124">
        <v>10</v>
      </c>
      <c r="E1124" s="10">
        <v>256</v>
      </c>
      <c r="F1124" s="10">
        <v>273</v>
      </c>
      <c r="G1124" s="10">
        <v>607</v>
      </c>
      <c r="H1124" s="10">
        <v>988</v>
      </c>
      <c r="I1124" s="10" t="s">
        <v>2365</v>
      </c>
      <c r="J1124" s="10" t="s">
        <v>691</v>
      </c>
      <c r="L1124" s="13"/>
      <c r="M1124" s="10" t="s">
        <v>85</v>
      </c>
      <c r="O1124" s="10" t="s">
        <v>14</v>
      </c>
      <c r="P1124" s="10" t="s">
        <v>2360</v>
      </c>
      <c r="Q1124" s="10" t="s">
        <v>2361</v>
      </c>
      <c r="R1124" s="10">
        <v>1983</v>
      </c>
      <c r="S1124" s="10" t="s">
        <v>505</v>
      </c>
      <c r="U1124" s="9" t="s">
        <v>2362</v>
      </c>
      <c r="V1124" s="10" t="s">
        <v>2363</v>
      </c>
      <c r="W1124" t="s">
        <v>91</v>
      </c>
      <c r="X1124" t="s">
        <v>126</v>
      </c>
      <c r="Y1124" t="s">
        <v>190</v>
      </c>
      <c r="Z1124" t="s">
        <v>191</v>
      </c>
      <c r="AA1124" t="s">
        <v>192</v>
      </c>
      <c r="AB1124" t="s">
        <v>227</v>
      </c>
      <c r="AC1124" t="s">
        <v>228</v>
      </c>
      <c r="AD1124" t="s">
        <v>132</v>
      </c>
      <c r="AE1124" t="s">
        <v>133</v>
      </c>
      <c r="AF1124" t="s">
        <v>100</v>
      </c>
      <c r="AG1124" s="10" t="s">
        <v>102</v>
      </c>
      <c r="AH1124" s="10" t="s">
        <v>102</v>
      </c>
      <c r="AI1124" s="10" t="s">
        <v>134</v>
      </c>
      <c r="AJ1124" s="10" t="s">
        <v>135</v>
      </c>
      <c r="AM1124" t="s">
        <v>136</v>
      </c>
      <c r="AN1124" t="s">
        <v>1184</v>
      </c>
      <c r="AU1124">
        <v>3</v>
      </c>
      <c r="AW1124" s="10" t="s">
        <v>108</v>
      </c>
      <c r="AZ1124" s="10" t="s">
        <v>212</v>
      </c>
      <c r="BA1124" s="10" t="s">
        <v>142</v>
      </c>
      <c r="BB1124" s="10">
        <v>16</v>
      </c>
      <c r="BC1124" s="10">
        <v>20</v>
      </c>
      <c r="BE1124" s="10" t="s">
        <v>139</v>
      </c>
      <c r="BF1124">
        <v>21</v>
      </c>
      <c r="BH1124">
        <v>24</v>
      </c>
      <c r="BI1124">
        <v>13</v>
      </c>
      <c r="BJ1124">
        <v>1</v>
      </c>
      <c r="BK1124">
        <v>25</v>
      </c>
      <c r="BO1124">
        <f t="shared" si="47"/>
        <v>7.5</v>
      </c>
      <c r="BP1124">
        <v>12</v>
      </c>
      <c r="BR1124" t="s">
        <v>69</v>
      </c>
      <c r="BT1124" t="s">
        <v>2296</v>
      </c>
      <c r="BU1124" t="s">
        <v>2364</v>
      </c>
      <c r="BV1124">
        <v>25.4</v>
      </c>
      <c r="BW1124" t="s">
        <v>454</v>
      </c>
      <c r="BX1124">
        <v>13</v>
      </c>
      <c r="BY1124">
        <v>25.9</v>
      </c>
      <c r="BZ1124" t="s">
        <v>454</v>
      </c>
      <c r="CA1124">
        <v>13</v>
      </c>
      <c r="CB1124" t="s">
        <v>215</v>
      </c>
      <c r="CC1124" t="s">
        <v>2297</v>
      </c>
    </row>
    <row r="1125" spans="1:81" x14ac:dyDescent="0.25">
      <c r="A1125" s="10" t="s">
        <v>81</v>
      </c>
      <c r="B1125">
        <v>1124</v>
      </c>
      <c r="C1125" s="10">
        <v>159</v>
      </c>
      <c r="D1125">
        <v>10</v>
      </c>
      <c r="E1125" s="10">
        <v>256</v>
      </c>
      <c r="F1125" s="10">
        <v>273</v>
      </c>
      <c r="G1125" s="10">
        <v>608</v>
      </c>
      <c r="H1125" s="10">
        <v>985</v>
      </c>
      <c r="I1125" s="10" t="s">
        <v>2365</v>
      </c>
      <c r="J1125" s="10" t="s">
        <v>691</v>
      </c>
      <c r="L1125" s="13"/>
      <c r="M1125" s="10" t="s">
        <v>85</v>
      </c>
      <c r="O1125" s="10" t="s">
        <v>14</v>
      </c>
      <c r="P1125" s="10" t="s">
        <v>2360</v>
      </c>
      <c r="Q1125" s="10" t="s">
        <v>2361</v>
      </c>
      <c r="R1125" s="10">
        <v>1983</v>
      </c>
      <c r="S1125" s="10" t="s">
        <v>505</v>
      </c>
      <c r="U1125" s="9" t="s">
        <v>2362</v>
      </c>
      <c r="V1125" s="10" t="s">
        <v>2363</v>
      </c>
      <c r="W1125" t="s">
        <v>91</v>
      </c>
      <c r="X1125" t="s">
        <v>126</v>
      </c>
      <c r="Y1125" t="s">
        <v>190</v>
      </c>
      <c r="Z1125" t="s">
        <v>191</v>
      </c>
      <c r="AA1125" t="s">
        <v>192</v>
      </c>
      <c r="AB1125" t="s">
        <v>227</v>
      </c>
      <c r="AC1125" t="s">
        <v>228</v>
      </c>
      <c r="AD1125" t="s">
        <v>132</v>
      </c>
      <c r="AE1125" t="s">
        <v>133</v>
      </c>
      <c r="AF1125" t="s">
        <v>100</v>
      </c>
      <c r="AG1125" s="10" t="s">
        <v>102</v>
      </c>
      <c r="AH1125" s="10" t="s">
        <v>102</v>
      </c>
      <c r="AI1125" s="10" t="s">
        <v>134</v>
      </c>
      <c r="AJ1125" s="10" t="s">
        <v>135</v>
      </c>
      <c r="AM1125" t="s">
        <v>136</v>
      </c>
      <c r="AN1125" t="s">
        <v>1184</v>
      </c>
      <c r="AU1125">
        <v>3</v>
      </c>
      <c r="AW1125" s="10" t="s">
        <v>108</v>
      </c>
      <c r="AZ1125" s="10" t="s">
        <v>212</v>
      </c>
      <c r="BA1125" s="10" t="s">
        <v>142</v>
      </c>
      <c r="BB1125" s="10">
        <v>4</v>
      </c>
      <c r="BC1125" s="10">
        <v>8</v>
      </c>
      <c r="BE1125" s="10" t="s">
        <v>139</v>
      </c>
      <c r="BF1125">
        <v>21</v>
      </c>
      <c r="BH1125">
        <v>48</v>
      </c>
      <c r="BI1125">
        <v>13</v>
      </c>
      <c r="BJ1125">
        <v>1</v>
      </c>
      <c r="BK1125">
        <v>25</v>
      </c>
      <c r="BO1125">
        <f t="shared" si="47"/>
        <v>7.5</v>
      </c>
      <c r="BP1125">
        <v>12</v>
      </c>
      <c r="BR1125" t="s">
        <v>69</v>
      </c>
      <c r="BT1125" t="s">
        <v>2296</v>
      </c>
      <c r="BU1125" t="s">
        <v>2364</v>
      </c>
      <c r="BV1125">
        <v>22.7</v>
      </c>
      <c r="BW1125" t="s">
        <v>454</v>
      </c>
      <c r="BX1125">
        <v>13</v>
      </c>
      <c r="BY1125">
        <v>24.1</v>
      </c>
      <c r="BZ1125" t="s">
        <v>454</v>
      </c>
      <c r="CA1125">
        <v>13</v>
      </c>
      <c r="CB1125" t="s">
        <v>215</v>
      </c>
      <c r="CC1125" t="s">
        <v>2297</v>
      </c>
    </row>
    <row r="1126" spans="1:81" x14ac:dyDescent="0.25">
      <c r="A1126" s="10" t="s">
        <v>81</v>
      </c>
      <c r="B1126">
        <v>1125</v>
      </c>
      <c r="C1126" s="10">
        <v>159</v>
      </c>
      <c r="D1126">
        <v>10</v>
      </c>
      <c r="E1126" s="10">
        <v>256</v>
      </c>
      <c r="F1126" s="10">
        <v>273</v>
      </c>
      <c r="G1126" s="10">
        <v>608</v>
      </c>
      <c r="H1126" s="10">
        <v>986</v>
      </c>
      <c r="I1126" s="10" t="s">
        <v>2365</v>
      </c>
      <c r="J1126" s="10" t="s">
        <v>691</v>
      </c>
      <c r="L1126" s="13"/>
      <c r="M1126" s="10" t="s">
        <v>85</v>
      </c>
      <c r="O1126" s="10" t="s">
        <v>14</v>
      </c>
      <c r="P1126" s="10" t="s">
        <v>2360</v>
      </c>
      <c r="Q1126" s="10" t="s">
        <v>2361</v>
      </c>
      <c r="R1126" s="10">
        <v>1983</v>
      </c>
      <c r="S1126" s="10" t="s">
        <v>505</v>
      </c>
      <c r="U1126" s="9" t="s">
        <v>2362</v>
      </c>
      <c r="V1126" s="10" t="s">
        <v>2363</v>
      </c>
      <c r="W1126" t="s">
        <v>91</v>
      </c>
      <c r="X1126" t="s">
        <v>126</v>
      </c>
      <c r="Y1126" t="s">
        <v>190</v>
      </c>
      <c r="Z1126" t="s">
        <v>191</v>
      </c>
      <c r="AA1126" t="s">
        <v>192</v>
      </c>
      <c r="AB1126" t="s">
        <v>227</v>
      </c>
      <c r="AC1126" t="s">
        <v>228</v>
      </c>
      <c r="AD1126" t="s">
        <v>132</v>
      </c>
      <c r="AE1126" t="s">
        <v>133</v>
      </c>
      <c r="AF1126" t="s">
        <v>100</v>
      </c>
      <c r="AG1126" s="10" t="s">
        <v>102</v>
      </c>
      <c r="AH1126" s="10" t="s">
        <v>102</v>
      </c>
      <c r="AI1126" s="10" t="s">
        <v>134</v>
      </c>
      <c r="AJ1126" s="10" t="s">
        <v>135</v>
      </c>
      <c r="AM1126" t="s">
        <v>136</v>
      </c>
      <c r="AN1126" t="s">
        <v>1184</v>
      </c>
      <c r="AU1126">
        <v>3</v>
      </c>
      <c r="AW1126" s="10" t="s">
        <v>108</v>
      </c>
      <c r="AZ1126" s="10" t="s">
        <v>212</v>
      </c>
      <c r="BA1126" s="10" t="s">
        <v>142</v>
      </c>
      <c r="BB1126" s="10">
        <v>8</v>
      </c>
      <c r="BC1126" s="10">
        <v>12</v>
      </c>
      <c r="BE1126" s="10" t="s">
        <v>139</v>
      </c>
      <c r="BF1126">
        <v>21</v>
      </c>
      <c r="BH1126">
        <v>48</v>
      </c>
      <c r="BI1126">
        <v>13</v>
      </c>
      <c r="BJ1126">
        <v>1</v>
      </c>
      <c r="BK1126">
        <v>25</v>
      </c>
      <c r="BO1126">
        <f t="shared" si="47"/>
        <v>7.5</v>
      </c>
      <c r="BP1126">
        <v>12</v>
      </c>
      <c r="BR1126" t="s">
        <v>69</v>
      </c>
      <c r="BT1126" t="s">
        <v>2296</v>
      </c>
      <c r="BU1126" t="s">
        <v>2364</v>
      </c>
      <c r="BV1126">
        <v>24.1</v>
      </c>
      <c r="BW1126" t="s">
        <v>454</v>
      </c>
      <c r="BX1126">
        <v>13</v>
      </c>
      <c r="BY1126">
        <v>24.5</v>
      </c>
      <c r="BZ1126" t="s">
        <v>454</v>
      </c>
      <c r="CA1126">
        <v>13</v>
      </c>
      <c r="CB1126" t="s">
        <v>215</v>
      </c>
      <c r="CC1126" t="s">
        <v>2297</v>
      </c>
    </row>
    <row r="1127" spans="1:81" x14ac:dyDescent="0.25">
      <c r="A1127" s="10" t="s">
        <v>81</v>
      </c>
      <c r="B1127">
        <v>1126</v>
      </c>
      <c r="C1127" s="10">
        <v>159</v>
      </c>
      <c r="D1127">
        <v>10</v>
      </c>
      <c r="E1127" s="10">
        <v>256</v>
      </c>
      <c r="F1127" s="10">
        <v>273</v>
      </c>
      <c r="G1127" s="10">
        <v>608</v>
      </c>
      <c r="H1127" s="10">
        <v>987</v>
      </c>
      <c r="I1127" s="10" t="s">
        <v>2365</v>
      </c>
      <c r="J1127" s="10" t="s">
        <v>691</v>
      </c>
      <c r="L1127" s="13"/>
      <c r="M1127" s="10" t="s">
        <v>85</v>
      </c>
      <c r="O1127" s="10" t="s">
        <v>14</v>
      </c>
      <c r="P1127" s="10" t="s">
        <v>2360</v>
      </c>
      <c r="Q1127" s="10" t="s">
        <v>2361</v>
      </c>
      <c r="R1127" s="10">
        <v>1983</v>
      </c>
      <c r="S1127" s="10" t="s">
        <v>505</v>
      </c>
      <c r="U1127" s="9" t="s">
        <v>2362</v>
      </c>
      <c r="V1127" s="10" t="s">
        <v>2363</v>
      </c>
      <c r="W1127" t="s">
        <v>91</v>
      </c>
      <c r="X1127" t="s">
        <v>126</v>
      </c>
      <c r="Y1127" t="s">
        <v>190</v>
      </c>
      <c r="Z1127" t="s">
        <v>191</v>
      </c>
      <c r="AA1127" t="s">
        <v>192</v>
      </c>
      <c r="AB1127" t="s">
        <v>227</v>
      </c>
      <c r="AC1127" t="s">
        <v>228</v>
      </c>
      <c r="AD1127" t="s">
        <v>132</v>
      </c>
      <c r="AE1127" t="s">
        <v>133</v>
      </c>
      <c r="AF1127" t="s">
        <v>100</v>
      </c>
      <c r="AG1127" s="10" t="s">
        <v>102</v>
      </c>
      <c r="AH1127" s="10" t="s">
        <v>102</v>
      </c>
      <c r="AI1127" s="10" t="s">
        <v>134</v>
      </c>
      <c r="AJ1127" s="10" t="s">
        <v>135</v>
      </c>
      <c r="AM1127" t="s">
        <v>136</v>
      </c>
      <c r="AN1127" t="s">
        <v>1184</v>
      </c>
      <c r="AU1127">
        <v>3</v>
      </c>
      <c r="AW1127" s="10" t="s">
        <v>108</v>
      </c>
      <c r="AZ1127" s="10" t="s">
        <v>212</v>
      </c>
      <c r="BA1127" s="10" t="s">
        <v>142</v>
      </c>
      <c r="BB1127" s="10">
        <v>12</v>
      </c>
      <c r="BC1127" s="10">
        <v>16</v>
      </c>
      <c r="BE1127" s="10" t="s">
        <v>139</v>
      </c>
      <c r="BF1127">
        <v>21</v>
      </c>
      <c r="BH1127">
        <v>48</v>
      </c>
      <c r="BI1127">
        <v>13</v>
      </c>
      <c r="BJ1127">
        <v>1</v>
      </c>
      <c r="BK1127">
        <v>25</v>
      </c>
      <c r="BO1127">
        <f t="shared" si="47"/>
        <v>7.5</v>
      </c>
      <c r="BP1127">
        <v>12</v>
      </c>
      <c r="BR1127" t="s">
        <v>69</v>
      </c>
      <c r="BT1127" t="s">
        <v>2296</v>
      </c>
      <c r="BU1127" t="s">
        <v>2364</v>
      </c>
      <c r="BV1127">
        <v>24.5</v>
      </c>
      <c r="BW1127" t="s">
        <v>454</v>
      </c>
      <c r="BX1127">
        <v>13</v>
      </c>
      <c r="BY1127">
        <v>25.3</v>
      </c>
      <c r="BZ1127" t="s">
        <v>454</v>
      </c>
      <c r="CA1127">
        <v>13</v>
      </c>
      <c r="CB1127" t="s">
        <v>215</v>
      </c>
      <c r="CC1127" t="s">
        <v>2297</v>
      </c>
    </row>
    <row r="1128" spans="1:81" x14ac:dyDescent="0.25">
      <c r="A1128" s="10" t="s">
        <v>81</v>
      </c>
      <c r="B1128">
        <v>1127</v>
      </c>
      <c r="C1128" s="10">
        <v>159</v>
      </c>
      <c r="D1128">
        <v>10</v>
      </c>
      <c r="E1128" s="10">
        <v>256</v>
      </c>
      <c r="F1128" s="10">
        <v>273</v>
      </c>
      <c r="G1128" s="10">
        <v>608</v>
      </c>
      <c r="H1128" s="10">
        <v>988</v>
      </c>
      <c r="I1128" s="10" t="s">
        <v>2365</v>
      </c>
      <c r="J1128" s="10" t="s">
        <v>691</v>
      </c>
      <c r="L1128" s="13"/>
      <c r="M1128" s="10" t="s">
        <v>85</v>
      </c>
      <c r="O1128" s="10" t="s">
        <v>14</v>
      </c>
      <c r="P1128" s="10" t="s">
        <v>2360</v>
      </c>
      <c r="Q1128" s="10" t="s">
        <v>2361</v>
      </c>
      <c r="R1128" s="10">
        <v>1983</v>
      </c>
      <c r="S1128" s="10" t="s">
        <v>505</v>
      </c>
      <c r="U1128" s="9" t="s">
        <v>2362</v>
      </c>
      <c r="V1128" s="10" t="s">
        <v>2363</v>
      </c>
      <c r="W1128" t="s">
        <v>91</v>
      </c>
      <c r="X1128" t="s">
        <v>126</v>
      </c>
      <c r="Y1128" t="s">
        <v>190</v>
      </c>
      <c r="Z1128" t="s">
        <v>191</v>
      </c>
      <c r="AA1128" t="s">
        <v>192</v>
      </c>
      <c r="AB1128" t="s">
        <v>227</v>
      </c>
      <c r="AC1128" t="s">
        <v>228</v>
      </c>
      <c r="AD1128" t="s">
        <v>132</v>
      </c>
      <c r="AE1128" t="s">
        <v>133</v>
      </c>
      <c r="AF1128" t="s">
        <v>100</v>
      </c>
      <c r="AG1128" s="10" t="s">
        <v>102</v>
      </c>
      <c r="AH1128" s="10" t="s">
        <v>102</v>
      </c>
      <c r="AI1128" s="10" t="s">
        <v>134</v>
      </c>
      <c r="AJ1128" s="10" t="s">
        <v>135</v>
      </c>
      <c r="AM1128" t="s">
        <v>136</v>
      </c>
      <c r="AN1128" t="s">
        <v>1184</v>
      </c>
      <c r="AU1128">
        <v>3</v>
      </c>
      <c r="AW1128" s="10" t="s">
        <v>108</v>
      </c>
      <c r="AZ1128" s="10" t="s">
        <v>212</v>
      </c>
      <c r="BA1128" s="10" t="s">
        <v>142</v>
      </c>
      <c r="BB1128" s="10">
        <v>16</v>
      </c>
      <c r="BC1128" s="10">
        <v>20</v>
      </c>
      <c r="BE1128" s="10" t="s">
        <v>139</v>
      </c>
      <c r="BF1128">
        <v>21</v>
      </c>
      <c r="BH1128">
        <v>48</v>
      </c>
      <c r="BI1128">
        <v>13</v>
      </c>
      <c r="BJ1128">
        <v>1</v>
      </c>
      <c r="BK1128">
        <v>25</v>
      </c>
      <c r="BO1128">
        <f t="shared" si="47"/>
        <v>7.5</v>
      </c>
      <c r="BP1128">
        <v>12</v>
      </c>
      <c r="BR1128" t="s">
        <v>69</v>
      </c>
      <c r="BT1128" t="s">
        <v>2296</v>
      </c>
      <c r="BU1128" t="s">
        <v>2364</v>
      </c>
      <c r="BV1128">
        <v>25.3</v>
      </c>
      <c r="BW1128" t="s">
        <v>454</v>
      </c>
      <c r="BX1128">
        <v>13</v>
      </c>
      <c r="BY1128">
        <v>25.7</v>
      </c>
      <c r="BZ1128" t="s">
        <v>454</v>
      </c>
      <c r="CA1128">
        <v>13</v>
      </c>
      <c r="CB1128" t="s">
        <v>215</v>
      </c>
      <c r="CC1128" t="s">
        <v>2297</v>
      </c>
    </row>
    <row r="1129" spans="1:81" x14ac:dyDescent="0.25">
      <c r="A1129" s="10" t="s">
        <v>81</v>
      </c>
      <c r="B1129">
        <v>1128</v>
      </c>
      <c r="C1129" s="10">
        <v>159</v>
      </c>
      <c r="D1129">
        <v>10</v>
      </c>
      <c r="E1129" s="10">
        <v>256</v>
      </c>
      <c r="F1129" s="10">
        <v>273</v>
      </c>
      <c r="G1129" s="10">
        <v>609</v>
      </c>
      <c r="H1129" s="10">
        <v>985</v>
      </c>
      <c r="I1129" s="10" t="s">
        <v>2365</v>
      </c>
      <c r="J1129" s="10" t="s">
        <v>691</v>
      </c>
      <c r="L1129" s="13"/>
      <c r="M1129" s="10" t="s">
        <v>85</v>
      </c>
      <c r="O1129" s="10" t="s">
        <v>14</v>
      </c>
      <c r="P1129" s="10" t="s">
        <v>2360</v>
      </c>
      <c r="Q1129" s="10" t="s">
        <v>2361</v>
      </c>
      <c r="R1129" s="10">
        <v>1983</v>
      </c>
      <c r="S1129" s="10" t="s">
        <v>505</v>
      </c>
      <c r="U1129" s="9" t="s">
        <v>2362</v>
      </c>
      <c r="V1129" s="10" t="s">
        <v>2363</v>
      </c>
      <c r="W1129" t="s">
        <v>91</v>
      </c>
      <c r="X1129" t="s">
        <v>126</v>
      </c>
      <c r="Y1129" t="s">
        <v>190</v>
      </c>
      <c r="Z1129" t="s">
        <v>191</v>
      </c>
      <c r="AA1129" t="s">
        <v>192</v>
      </c>
      <c r="AB1129" t="s">
        <v>227</v>
      </c>
      <c r="AC1129" t="s">
        <v>228</v>
      </c>
      <c r="AD1129" t="s">
        <v>132</v>
      </c>
      <c r="AE1129" t="s">
        <v>133</v>
      </c>
      <c r="AF1129" t="s">
        <v>100</v>
      </c>
      <c r="AG1129" s="10" t="s">
        <v>102</v>
      </c>
      <c r="AH1129" s="10" t="s">
        <v>102</v>
      </c>
      <c r="AI1129" s="10" t="s">
        <v>134</v>
      </c>
      <c r="AJ1129" s="10" t="s">
        <v>135</v>
      </c>
      <c r="AM1129" t="s">
        <v>136</v>
      </c>
      <c r="AN1129" t="s">
        <v>1184</v>
      </c>
      <c r="AU1129">
        <v>3</v>
      </c>
      <c r="AW1129" s="10" t="s">
        <v>108</v>
      </c>
      <c r="AZ1129" s="10" t="s">
        <v>212</v>
      </c>
      <c r="BA1129" s="10" t="s">
        <v>142</v>
      </c>
      <c r="BB1129" s="10">
        <v>4</v>
      </c>
      <c r="BC1129" s="10">
        <v>8</v>
      </c>
      <c r="BE1129" s="10" t="s">
        <v>139</v>
      </c>
      <c r="BF1129">
        <v>21</v>
      </c>
      <c r="BH1129">
        <v>96</v>
      </c>
      <c r="BI1129">
        <v>13</v>
      </c>
      <c r="BJ1129">
        <v>1</v>
      </c>
      <c r="BK1129">
        <v>25</v>
      </c>
      <c r="BO1129">
        <f t="shared" si="47"/>
        <v>7.5</v>
      </c>
      <c r="BP1129">
        <v>12</v>
      </c>
      <c r="BR1129" t="s">
        <v>69</v>
      </c>
      <c r="BT1129" t="s">
        <v>2296</v>
      </c>
      <c r="BU1129" t="s">
        <v>2364</v>
      </c>
      <c r="BV1129">
        <v>22.6</v>
      </c>
      <c r="BW1129" t="s">
        <v>454</v>
      </c>
      <c r="BX1129">
        <v>13</v>
      </c>
      <c r="BY1129">
        <v>24</v>
      </c>
      <c r="BZ1129" t="s">
        <v>454</v>
      </c>
      <c r="CA1129">
        <v>13</v>
      </c>
      <c r="CB1129" t="s">
        <v>215</v>
      </c>
      <c r="CC1129" t="s">
        <v>2297</v>
      </c>
    </row>
    <row r="1130" spans="1:81" x14ac:dyDescent="0.25">
      <c r="A1130" s="10" t="s">
        <v>81</v>
      </c>
      <c r="B1130">
        <v>1129</v>
      </c>
      <c r="C1130" s="10">
        <v>159</v>
      </c>
      <c r="D1130">
        <v>10</v>
      </c>
      <c r="E1130" s="10">
        <v>256</v>
      </c>
      <c r="F1130" s="10">
        <v>273</v>
      </c>
      <c r="G1130" s="10">
        <v>609</v>
      </c>
      <c r="H1130" s="10">
        <v>986</v>
      </c>
      <c r="I1130" s="10" t="s">
        <v>2365</v>
      </c>
      <c r="J1130" s="10" t="s">
        <v>691</v>
      </c>
      <c r="L1130" s="13"/>
      <c r="M1130" s="10" t="s">
        <v>85</v>
      </c>
      <c r="O1130" s="10" t="s">
        <v>14</v>
      </c>
      <c r="P1130" s="10" t="s">
        <v>2360</v>
      </c>
      <c r="Q1130" s="10" t="s">
        <v>2361</v>
      </c>
      <c r="R1130" s="10">
        <v>1983</v>
      </c>
      <c r="S1130" s="10" t="s">
        <v>505</v>
      </c>
      <c r="U1130" s="9" t="s">
        <v>2362</v>
      </c>
      <c r="V1130" s="10" t="s">
        <v>2363</v>
      </c>
      <c r="W1130" t="s">
        <v>91</v>
      </c>
      <c r="X1130" t="s">
        <v>126</v>
      </c>
      <c r="Y1130" t="s">
        <v>190</v>
      </c>
      <c r="Z1130" t="s">
        <v>191</v>
      </c>
      <c r="AA1130" t="s">
        <v>192</v>
      </c>
      <c r="AB1130" t="s">
        <v>227</v>
      </c>
      <c r="AC1130" t="s">
        <v>228</v>
      </c>
      <c r="AD1130" t="s">
        <v>132</v>
      </c>
      <c r="AE1130" t="s">
        <v>133</v>
      </c>
      <c r="AF1130" t="s">
        <v>100</v>
      </c>
      <c r="AG1130" s="10" t="s">
        <v>102</v>
      </c>
      <c r="AH1130" s="10" t="s">
        <v>102</v>
      </c>
      <c r="AI1130" s="10" t="s">
        <v>134</v>
      </c>
      <c r="AJ1130" s="10" t="s">
        <v>135</v>
      </c>
      <c r="AM1130" t="s">
        <v>136</v>
      </c>
      <c r="AN1130" t="s">
        <v>1184</v>
      </c>
      <c r="AU1130">
        <v>3</v>
      </c>
      <c r="AW1130" s="10" t="s">
        <v>108</v>
      </c>
      <c r="AZ1130" s="10" t="s">
        <v>212</v>
      </c>
      <c r="BA1130" s="10" t="s">
        <v>142</v>
      </c>
      <c r="BB1130" s="10">
        <v>8</v>
      </c>
      <c r="BC1130" s="10">
        <v>12</v>
      </c>
      <c r="BE1130" s="10" t="s">
        <v>139</v>
      </c>
      <c r="BF1130">
        <v>21</v>
      </c>
      <c r="BH1130">
        <v>96</v>
      </c>
      <c r="BI1130">
        <v>13</v>
      </c>
      <c r="BJ1130">
        <v>1</v>
      </c>
      <c r="BK1130">
        <v>25</v>
      </c>
      <c r="BO1130">
        <f t="shared" si="47"/>
        <v>7.5</v>
      </c>
      <c r="BP1130">
        <v>12</v>
      </c>
      <c r="BR1130" t="s">
        <v>69</v>
      </c>
      <c r="BT1130" t="s">
        <v>2296</v>
      </c>
      <c r="BU1130" t="s">
        <v>2364</v>
      </c>
      <c r="BV1130">
        <v>24</v>
      </c>
      <c r="BW1130" t="s">
        <v>454</v>
      </c>
      <c r="BX1130">
        <v>13</v>
      </c>
      <c r="BY1130">
        <v>24.5</v>
      </c>
      <c r="BZ1130" t="s">
        <v>454</v>
      </c>
      <c r="CA1130">
        <v>13</v>
      </c>
      <c r="CB1130" t="s">
        <v>215</v>
      </c>
      <c r="CC1130" t="s">
        <v>2297</v>
      </c>
    </row>
    <row r="1131" spans="1:81" x14ac:dyDescent="0.25">
      <c r="A1131" s="10" t="s">
        <v>81</v>
      </c>
      <c r="B1131">
        <v>1130</v>
      </c>
      <c r="C1131" s="10">
        <v>159</v>
      </c>
      <c r="D1131">
        <v>10</v>
      </c>
      <c r="E1131" s="10">
        <v>256</v>
      </c>
      <c r="F1131" s="10">
        <v>273</v>
      </c>
      <c r="G1131" s="10">
        <v>609</v>
      </c>
      <c r="H1131" s="10">
        <v>987</v>
      </c>
      <c r="I1131" s="10" t="s">
        <v>2365</v>
      </c>
      <c r="J1131" s="10" t="s">
        <v>691</v>
      </c>
      <c r="L1131" s="13"/>
      <c r="M1131" s="10" t="s">
        <v>85</v>
      </c>
      <c r="O1131" s="10" t="s">
        <v>14</v>
      </c>
      <c r="P1131" s="10" t="s">
        <v>2360</v>
      </c>
      <c r="Q1131" s="10" t="s">
        <v>2361</v>
      </c>
      <c r="R1131" s="10">
        <v>1983</v>
      </c>
      <c r="S1131" s="10" t="s">
        <v>505</v>
      </c>
      <c r="U1131" s="9" t="s">
        <v>2362</v>
      </c>
      <c r="V1131" s="10" t="s">
        <v>2363</v>
      </c>
      <c r="W1131" t="s">
        <v>91</v>
      </c>
      <c r="X1131" t="s">
        <v>126</v>
      </c>
      <c r="Y1131" t="s">
        <v>190</v>
      </c>
      <c r="Z1131" t="s">
        <v>191</v>
      </c>
      <c r="AA1131" t="s">
        <v>192</v>
      </c>
      <c r="AB1131" t="s">
        <v>227</v>
      </c>
      <c r="AC1131" t="s">
        <v>228</v>
      </c>
      <c r="AD1131" t="s">
        <v>132</v>
      </c>
      <c r="AE1131" t="s">
        <v>133</v>
      </c>
      <c r="AF1131" t="s">
        <v>100</v>
      </c>
      <c r="AG1131" s="10" t="s">
        <v>102</v>
      </c>
      <c r="AH1131" s="10" t="s">
        <v>102</v>
      </c>
      <c r="AI1131" s="10" t="s">
        <v>134</v>
      </c>
      <c r="AJ1131" s="10" t="s">
        <v>135</v>
      </c>
      <c r="AM1131" t="s">
        <v>136</v>
      </c>
      <c r="AN1131" t="s">
        <v>1184</v>
      </c>
      <c r="AU1131">
        <v>3</v>
      </c>
      <c r="AW1131" s="10" t="s">
        <v>108</v>
      </c>
      <c r="AZ1131" s="10" t="s">
        <v>212</v>
      </c>
      <c r="BA1131" s="10" t="s">
        <v>142</v>
      </c>
      <c r="BB1131" s="10">
        <v>12</v>
      </c>
      <c r="BC1131" s="10">
        <v>16</v>
      </c>
      <c r="BE1131" s="10" t="s">
        <v>139</v>
      </c>
      <c r="BF1131">
        <v>21</v>
      </c>
      <c r="BH1131">
        <v>96</v>
      </c>
      <c r="BI1131">
        <v>13</v>
      </c>
      <c r="BJ1131">
        <v>1</v>
      </c>
      <c r="BK1131">
        <v>25</v>
      </c>
      <c r="BO1131">
        <f t="shared" si="47"/>
        <v>7.5</v>
      </c>
      <c r="BP1131">
        <v>12</v>
      </c>
      <c r="BR1131" t="s">
        <v>69</v>
      </c>
      <c r="BT1131" t="s">
        <v>2296</v>
      </c>
      <c r="BU1131" t="s">
        <v>2364</v>
      </c>
      <c r="BV1131">
        <v>24.5</v>
      </c>
      <c r="BW1131" t="s">
        <v>454</v>
      </c>
      <c r="BX1131">
        <v>13</v>
      </c>
      <c r="BY1131">
        <v>25.1</v>
      </c>
      <c r="BZ1131" t="s">
        <v>454</v>
      </c>
      <c r="CA1131">
        <v>13</v>
      </c>
      <c r="CB1131" t="s">
        <v>215</v>
      </c>
      <c r="CC1131" t="s">
        <v>2297</v>
      </c>
    </row>
    <row r="1132" spans="1:81" x14ac:dyDescent="0.25">
      <c r="A1132" s="10" t="s">
        <v>81</v>
      </c>
      <c r="B1132">
        <v>1131</v>
      </c>
      <c r="C1132" s="10">
        <v>159</v>
      </c>
      <c r="D1132">
        <v>10</v>
      </c>
      <c r="E1132" s="10">
        <v>256</v>
      </c>
      <c r="F1132" s="10">
        <v>273</v>
      </c>
      <c r="G1132" s="10">
        <v>609</v>
      </c>
      <c r="H1132" s="10">
        <v>988</v>
      </c>
      <c r="I1132" s="10" t="s">
        <v>2365</v>
      </c>
      <c r="J1132" s="10" t="s">
        <v>691</v>
      </c>
      <c r="L1132" s="13"/>
      <c r="M1132" s="10" t="s">
        <v>85</v>
      </c>
      <c r="O1132" s="10" t="s">
        <v>14</v>
      </c>
      <c r="P1132" s="10" t="s">
        <v>2360</v>
      </c>
      <c r="Q1132" s="10" t="s">
        <v>2361</v>
      </c>
      <c r="R1132" s="10">
        <v>1983</v>
      </c>
      <c r="S1132" s="10" t="s">
        <v>505</v>
      </c>
      <c r="U1132" s="9" t="s">
        <v>2362</v>
      </c>
      <c r="V1132" s="10" t="s">
        <v>2363</v>
      </c>
      <c r="W1132" t="s">
        <v>91</v>
      </c>
      <c r="X1132" t="s">
        <v>126</v>
      </c>
      <c r="Y1132" t="s">
        <v>190</v>
      </c>
      <c r="Z1132" t="s">
        <v>191</v>
      </c>
      <c r="AA1132" t="s">
        <v>192</v>
      </c>
      <c r="AB1132" t="s">
        <v>227</v>
      </c>
      <c r="AC1132" t="s">
        <v>228</v>
      </c>
      <c r="AD1132" t="s">
        <v>132</v>
      </c>
      <c r="AE1132" t="s">
        <v>133</v>
      </c>
      <c r="AF1132" t="s">
        <v>100</v>
      </c>
      <c r="AG1132" s="10" t="s">
        <v>102</v>
      </c>
      <c r="AH1132" s="10" t="s">
        <v>102</v>
      </c>
      <c r="AI1132" s="10" t="s">
        <v>134</v>
      </c>
      <c r="AJ1132" s="10" t="s">
        <v>135</v>
      </c>
      <c r="AM1132" t="s">
        <v>136</v>
      </c>
      <c r="AN1132" t="s">
        <v>1184</v>
      </c>
      <c r="AU1132">
        <v>3</v>
      </c>
      <c r="AW1132" s="10" t="s">
        <v>108</v>
      </c>
      <c r="AZ1132" s="10" t="s">
        <v>212</v>
      </c>
      <c r="BA1132" s="10" t="s">
        <v>142</v>
      </c>
      <c r="BB1132" s="10">
        <v>16</v>
      </c>
      <c r="BC1132" s="10">
        <v>20</v>
      </c>
      <c r="BE1132" s="10" t="s">
        <v>139</v>
      </c>
      <c r="BF1132">
        <v>21</v>
      </c>
      <c r="BH1132">
        <v>96</v>
      </c>
      <c r="BI1132">
        <v>13</v>
      </c>
      <c r="BJ1132">
        <v>1</v>
      </c>
      <c r="BK1132">
        <v>25</v>
      </c>
      <c r="BO1132">
        <f t="shared" si="47"/>
        <v>7.5</v>
      </c>
      <c r="BP1132">
        <v>12</v>
      </c>
      <c r="BR1132" t="s">
        <v>69</v>
      </c>
      <c r="BT1132" t="s">
        <v>2296</v>
      </c>
      <c r="BU1132" t="s">
        <v>2364</v>
      </c>
      <c r="BV1132">
        <v>25.1</v>
      </c>
      <c r="BW1132" t="s">
        <v>454</v>
      </c>
      <c r="BX1132">
        <v>13</v>
      </c>
      <c r="BY1132">
        <v>25.5</v>
      </c>
      <c r="BZ1132" t="s">
        <v>454</v>
      </c>
      <c r="CA1132">
        <v>13</v>
      </c>
      <c r="CB1132" t="s">
        <v>215</v>
      </c>
      <c r="CC1132" t="s">
        <v>2297</v>
      </c>
    </row>
  </sheetData>
  <sortState xmlns:xlrd2="http://schemas.microsoft.com/office/spreadsheetml/2017/richdata2" ref="A2:CC1132">
    <sortCondition ref="B2:B1132"/>
  </sortState>
  <phoneticPr fontId="5" type="noConversion"/>
  <hyperlinks>
    <hyperlink ref="K17" r:id="rId1" xr:uid="{E6D181F9-FD50-4611-ADE0-D433B8CF8C54}"/>
    <hyperlink ref="K18" r:id="rId2" xr:uid="{57D80A98-E0F5-46A1-9966-FEBB0F665F1C}"/>
    <hyperlink ref="K19" r:id="rId3" xr:uid="{53C78AF9-3B98-4BDD-9330-9AD4FD5A6715}"/>
    <hyperlink ref="K20" r:id="rId4" xr:uid="{48B51BC4-2C45-4476-AB08-656A804A7E92}"/>
    <hyperlink ref="K21" r:id="rId5" xr:uid="{6ECB0F41-43F4-47EA-8AD1-6A95AECA1C78}"/>
    <hyperlink ref="K22" r:id="rId6" xr:uid="{96EE8A7F-8DCA-4C6C-94B8-00FCC1C05CFC}"/>
    <hyperlink ref="K82" r:id="rId7" xr:uid="{B9406A2E-E05B-430E-94FA-6B6337961955}"/>
    <hyperlink ref="K83" r:id="rId8" xr:uid="{BD0FA8B2-FEB4-4130-BD92-298E3BF948BD}"/>
    <hyperlink ref="K212" r:id="rId9" xr:uid="{6824FE37-39A3-43ED-B7A5-E42FA450B3F3}"/>
    <hyperlink ref="K213" r:id="rId10" xr:uid="{403B4DBD-F5AA-4DC2-89F3-887155EBF1F6}"/>
    <hyperlink ref="K214" r:id="rId11" xr:uid="{5BC4DEAC-AC14-4853-A155-72C9C663C355}"/>
    <hyperlink ref="K215" r:id="rId12" xr:uid="{2C5DF3F9-8A3B-43EC-A739-94C2C0504878}"/>
    <hyperlink ref="K217" r:id="rId13" xr:uid="{B4A9EDC6-1170-4E50-AB2B-8FEDDF603361}"/>
    <hyperlink ref="K218" r:id="rId14" xr:uid="{2C4DA959-16EA-498A-8F01-6A46BABACD83}"/>
    <hyperlink ref="K219" r:id="rId15" xr:uid="{82344783-3D89-4913-853B-810F22C6D478}"/>
    <hyperlink ref="K220" r:id="rId16" xr:uid="{D290D14B-F586-4818-95CF-752D4FA21EF0}"/>
    <hyperlink ref="K221" r:id="rId17" xr:uid="{A04D57F1-D307-4D5B-BAA7-680AA94285F4}"/>
    <hyperlink ref="K222" r:id="rId18" xr:uid="{2A82957C-C7F6-41AC-AD49-587A7A8369F6}"/>
    <hyperlink ref="K223" r:id="rId19" xr:uid="{C5A9FF70-0E3C-4AF3-93E7-C622F5DE9819}"/>
    <hyperlink ref="K225" r:id="rId20" xr:uid="{56301108-5299-4136-8D66-047FED314927}"/>
    <hyperlink ref="K227" r:id="rId21" xr:uid="{FBF9A01F-876E-4FB4-9FEF-CCB6AAFC6510}"/>
    <hyperlink ref="K229" r:id="rId22" xr:uid="{DCB96DF3-C73B-4187-9B88-894D9DD90602}"/>
    <hyperlink ref="K224" r:id="rId23" xr:uid="{BBEB90A7-6C63-410D-B9E8-095A067FEA0F}"/>
    <hyperlink ref="K226" r:id="rId24" xr:uid="{9E721643-4AE6-4D05-A530-34EF81443C5C}"/>
    <hyperlink ref="K228" r:id="rId25" xr:uid="{BFCFDACD-3226-401A-A54E-A3CE9E2C3731}"/>
    <hyperlink ref="K230" r:id="rId26" xr:uid="{031F1F96-AB15-4410-A069-F6F7E4B45EFA}"/>
    <hyperlink ref="K233" r:id="rId27" xr:uid="{F1131B65-17E0-4A1F-99CF-A20D34A33A6D}"/>
    <hyperlink ref="K231" r:id="rId28" xr:uid="{50FF33C1-8891-45FC-B6FC-1D44A1680794}"/>
    <hyperlink ref="K232" r:id="rId29" xr:uid="{F57CA53A-4EF8-4B99-8EFA-A5D83F21A32D}"/>
    <hyperlink ref="K248" r:id="rId30" xr:uid="{FEE42806-708A-4EF0-8710-B2762C685B53}"/>
    <hyperlink ref="K257" r:id="rId31" xr:uid="{2E200CFE-64D6-4B99-9D7C-E7292A6EBA45}"/>
    <hyperlink ref="K246" r:id="rId32" xr:uid="{C1F09EDA-68C9-425B-9281-F89739721EC4}"/>
    <hyperlink ref="K255" r:id="rId33" xr:uid="{02A40BD1-3132-4592-B452-3552A6D1FB11}"/>
    <hyperlink ref="K247" r:id="rId34" xr:uid="{BA2E3FD9-C052-4A45-9D06-9608290E4908}"/>
    <hyperlink ref="K256" r:id="rId35" xr:uid="{1DA9EEBB-F6FF-49E0-83F1-26A1BF2CFB63}"/>
    <hyperlink ref="K236" r:id="rId36" xr:uid="{1174C928-CE1E-4E41-8539-FCF4C684F671}"/>
    <hyperlink ref="K234" r:id="rId37" xr:uid="{C965663E-AA09-4503-AAAF-956937A05C12}"/>
    <hyperlink ref="K235" r:id="rId38" xr:uid="{3442CC05-46C3-4A54-A647-8E83B3D87B52}"/>
    <hyperlink ref="K239" r:id="rId39" xr:uid="{D59AF049-0A95-4924-8347-7FE2DB45994B}"/>
    <hyperlink ref="K237" r:id="rId40" xr:uid="{3BA651D3-8A28-451B-BA4E-5D4ED5737F53}"/>
    <hyperlink ref="K238" r:id="rId41" xr:uid="{587D6A99-E78D-45FF-AF18-368CC1B2D454}"/>
    <hyperlink ref="K242" r:id="rId42" xr:uid="{EA87A4A4-74C5-4905-9AC4-0FB81C484AF0}"/>
    <hyperlink ref="K240" r:id="rId43" xr:uid="{D591324C-E715-4AD5-A2CD-6EAE81042013}"/>
    <hyperlink ref="K241" r:id="rId44" xr:uid="{F664FD55-EE75-4282-8639-EE5E185A2BA1}"/>
    <hyperlink ref="K245" r:id="rId45" xr:uid="{24E2BD64-DE35-4461-84E8-60CD6ED9F093}"/>
    <hyperlink ref="K243" r:id="rId46" xr:uid="{365E1274-D3EB-47E5-ACF9-4CC943E896C0}"/>
    <hyperlink ref="K244" r:id="rId47" xr:uid="{7255D336-7C89-4018-8440-96AC06CF45CE}"/>
    <hyperlink ref="K254" r:id="rId48" xr:uid="{34D772BC-47F3-4799-9244-C1C7B3EF58DA}"/>
    <hyperlink ref="K252" r:id="rId49" xr:uid="{C2616C3C-3EFF-4CA5-82BB-35BFF29CC5F5}"/>
    <hyperlink ref="K253" r:id="rId50" xr:uid="{FC467CB4-DC91-44DA-92A8-3EB8AF383F29}"/>
    <hyperlink ref="K251" r:id="rId51" xr:uid="{DD8E0946-2A22-496E-8775-5A3A386FCDB8}"/>
    <hyperlink ref="K249" r:id="rId52" xr:uid="{44DD5FFF-FF09-48EB-B185-9C89102DC15F}"/>
    <hyperlink ref="K250" r:id="rId53" xr:uid="{BBF07838-B20C-4250-BF88-9EA5B297E081}"/>
    <hyperlink ref="K325" r:id="rId54" xr:uid="{A79DCED8-2BEA-4BDE-8070-14E5C65B8E18}"/>
    <hyperlink ref="K326" r:id="rId55" xr:uid="{4F250132-875C-4B98-B11E-7DAFDCD67DA0}"/>
    <hyperlink ref="K327" r:id="rId56" xr:uid="{6E3BA1AF-C02D-4A1C-ABD1-4D325F52508D}"/>
    <hyperlink ref="K329" r:id="rId57" xr:uid="{3E848E6B-5108-46B7-9409-4BE856CCDA40}"/>
    <hyperlink ref="K331" r:id="rId58" xr:uid="{9A225FA5-4840-4F1D-BBBD-896EA69FBB3F}"/>
    <hyperlink ref="K328" r:id="rId59" xr:uid="{FDA81BC4-BDA4-4539-9FB4-083E5F4E87D4}"/>
    <hyperlink ref="K330" r:id="rId60" xr:uid="{EAC667D3-3EA6-4DA4-95DD-B4F2ADD4D0F9}"/>
    <hyperlink ref="K355" r:id="rId61" xr:uid="{90C1FF73-F438-407B-AD8D-29776AE8BD64}"/>
    <hyperlink ref="K356" r:id="rId62" xr:uid="{3A1A90B4-1C43-4BEF-AAD9-F983750C7C3F}"/>
    <hyperlink ref="K357" r:id="rId63" xr:uid="{0D5C1D06-C826-4169-8DB4-96F9F2BD5DF3}"/>
    <hyperlink ref="K390" r:id="rId64" xr:uid="{DD34DB5E-41E7-4122-B97E-C2B77450A51A}"/>
    <hyperlink ref="K392" r:id="rId65" xr:uid="{4153A346-C549-4E99-B7A0-46FE56745163}"/>
    <hyperlink ref="K393" r:id="rId66" xr:uid="{061A89ED-4CFD-4011-A637-60192CBF94A8}"/>
    <hyperlink ref="K391" r:id="rId67" xr:uid="{FF15777E-45BC-411D-8BB1-71492820F0BC}"/>
    <hyperlink ref="K394" r:id="rId68" xr:uid="{E73713A8-B2EA-496C-B15F-FD8100B74CA5}"/>
    <hyperlink ref="K395" r:id="rId69" xr:uid="{844107B3-3541-47AA-B9F2-D95A1AB0DD54}"/>
    <hyperlink ref="K396" r:id="rId70" xr:uid="{0D73C4EC-208B-4D2A-87AB-7DAC455EAD3A}"/>
    <hyperlink ref="K485" r:id="rId71" xr:uid="{56AF30D4-D699-40B9-8C4C-984946EA77CB}"/>
    <hyperlink ref="K486" r:id="rId72" xr:uid="{2866E5DC-E23A-406A-BB18-A97504D36D81}"/>
    <hyperlink ref="K487" r:id="rId73" xr:uid="{13B055C5-C6EB-409F-BE14-5A2212FA72A9}"/>
    <hyperlink ref="K488" r:id="rId74" xr:uid="{D2B27276-366F-4DCF-A8B7-982A971E4E6D}"/>
    <hyperlink ref="K489" r:id="rId75" xr:uid="{A8DC5EB8-2A7C-43F5-B392-FEFB7F3D74B0}"/>
    <hyperlink ref="K490" r:id="rId76" xr:uid="{1C0EF2C0-BC82-446F-A493-CC6A2AF12CFB}"/>
    <hyperlink ref="K491" r:id="rId77" xr:uid="{A9B59039-755F-46D7-AA92-D4650D2288E3}"/>
    <hyperlink ref="K492" r:id="rId78" xr:uid="{F9481D13-C7ED-43B4-8EF2-2278667FCCE4}"/>
    <hyperlink ref="K713" r:id="rId79" xr:uid="{516E82E1-710E-4000-998E-B767AB848E4C}"/>
    <hyperlink ref="K714" r:id="rId80" xr:uid="{E4DB37E9-0358-47DC-BB97-A2F1F71C95FD}"/>
    <hyperlink ref="K715" r:id="rId81" xr:uid="{5FAB78B7-B7DF-4230-A151-9FF825894C92}"/>
    <hyperlink ref="K717" r:id="rId82" xr:uid="{35BA7FA8-8A3C-44CE-B344-889EEBE8B63A}"/>
    <hyperlink ref="K719" r:id="rId83" xr:uid="{CBAF1EDA-D65C-4426-AD13-42813DA915DE}"/>
    <hyperlink ref="K721" r:id="rId84" xr:uid="{49C8A061-4E04-4E95-BE13-D7752950F93C}"/>
    <hyperlink ref="K723" r:id="rId85" xr:uid="{7A1298BF-EC0C-45B6-BCA4-D5038FF048B4}"/>
    <hyperlink ref="K716" r:id="rId86" xr:uid="{23315F04-6CF2-4BB6-AE2E-B0F62181F408}"/>
    <hyperlink ref="K718" r:id="rId87" xr:uid="{48332E8C-E1E0-4894-A54B-46C7DE83260F}"/>
    <hyperlink ref="K720" r:id="rId88" xr:uid="{0BBC6D44-C9A3-4E27-879D-E0E16F18674D}"/>
    <hyperlink ref="K722" r:id="rId89" xr:uid="{4F7AB7A6-F448-43B1-B784-BC204E4FEF9F}"/>
    <hyperlink ref="U782" r:id="rId90" xr:uid="{2D1EC18F-67F9-4227-A76A-BF56524FF9BC}"/>
    <hyperlink ref="U783" r:id="rId91" xr:uid="{D94EBC27-870D-4AE4-AB90-308D1ED9A03B}"/>
    <hyperlink ref="U784" r:id="rId92" xr:uid="{4516709E-12C7-45BB-8554-D2BA00FB8092}"/>
    <hyperlink ref="U785" r:id="rId93" xr:uid="{65237BCA-728D-4CC6-934C-C1F41E35DE22}"/>
    <hyperlink ref="U786" r:id="rId94" xr:uid="{DE8BF6EE-E333-4846-B127-5D3BA14CA1ED}"/>
    <hyperlink ref="U1101" r:id="rId95" xr:uid="{ABA61F07-1035-48EE-9F4C-83D0274E4635}"/>
    <hyperlink ref="U1102" r:id="rId96" xr:uid="{496D736D-B381-4FE7-8CE4-244E0B6084BF}"/>
    <hyperlink ref="U1106" r:id="rId97" xr:uid="{8F788BB6-6AE8-4342-9B07-552F329DF3BE}"/>
    <hyperlink ref="U1107" r:id="rId98" xr:uid="{5E48100B-9FC3-477F-BD91-FF9B70C33700}"/>
    <hyperlink ref="U1108" r:id="rId99" xr:uid="{6042493B-E202-4E15-B835-E59EED69EAC8}"/>
    <hyperlink ref="U1109" r:id="rId100" xr:uid="{15DBB016-4212-40CF-850E-D7DA39682D75}"/>
    <hyperlink ref="U1110" r:id="rId101" xr:uid="{98048723-269F-40DC-8AFA-28B16BBDABEA}"/>
    <hyperlink ref="U1112" r:id="rId102" xr:uid="{4CF6F9A7-5415-45AF-90C6-6C47E66020E9}"/>
    <hyperlink ref="U1114" r:id="rId103" xr:uid="{793FCF67-5FCF-40A2-B6E6-DCF8B5100E26}"/>
    <hyperlink ref="U1117" r:id="rId104" xr:uid="{3808589E-C884-40B4-96EF-BC03A1958EAB}"/>
    <hyperlink ref="U1118" r:id="rId105" xr:uid="{F2100004-0719-4864-B5E7-5FBB5C17C5DB}"/>
    <hyperlink ref="U1120" r:id="rId106" xr:uid="{2428D6FE-F7B4-4AF9-926A-4F76E5EDBE3E}"/>
    <hyperlink ref="U1111" r:id="rId107" xr:uid="{F181D405-B9D0-4640-8FAB-2AB921CCB86F}"/>
    <hyperlink ref="U1113" r:id="rId108" xr:uid="{DAF710F3-25D7-42C2-8D55-FFDF1F70B212}"/>
    <hyperlink ref="U1115" r:id="rId109" xr:uid="{8151DB8B-F2D5-4DA5-B555-4945ED702895}"/>
    <hyperlink ref="U1116" r:id="rId110" xr:uid="{02F19BA9-4968-49CF-BAB8-376BDD956363}"/>
    <hyperlink ref="U1119" r:id="rId111" xr:uid="{A973ED80-76FA-4106-BA9F-A677CD974AFE}"/>
    <hyperlink ref="U1121" r:id="rId112" xr:uid="{98CB6F29-0CD7-4AAF-A2D9-E5D1CD6052C9}"/>
    <hyperlink ref="U1122" r:id="rId113" xr:uid="{C1A86806-7FD0-4489-B9A0-68D17A2435A0}"/>
    <hyperlink ref="U1123" r:id="rId114" xr:uid="{C451D173-8086-4CE7-A3DF-14917E26DAB2}"/>
    <hyperlink ref="U1125" r:id="rId115" xr:uid="{F5F1A413-B5B6-458B-A201-70EF54813EE3}"/>
    <hyperlink ref="U1127" r:id="rId116" xr:uid="{D7C77D72-BDB9-40BE-816A-5277C5355385}"/>
    <hyperlink ref="U1129" r:id="rId117" xr:uid="{B333A658-902A-4912-B4BD-DAEB47684375}"/>
    <hyperlink ref="U1131" r:id="rId118" xr:uid="{97FA4F1D-803F-4F0D-B4F3-4903C368CA04}"/>
    <hyperlink ref="U1124" r:id="rId119" xr:uid="{D9638F0C-4C94-4781-8A86-8AC27F87D3A7}"/>
    <hyperlink ref="U1126" r:id="rId120" xr:uid="{9631D438-282C-4AAB-9ABA-233593A7E949}"/>
    <hyperlink ref="U1128" r:id="rId121" xr:uid="{A8898512-BE74-428F-877F-A02E3BFA23C8}"/>
    <hyperlink ref="U1130" r:id="rId122" xr:uid="{2314399B-F9CF-4CE0-A804-8A509D86E83A}"/>
    <hyperlink ref="U1132" r:id="rId123" xr:uid="{31903E43-8AED-41CE-8743-F1C486C8D668}"/>
  </hyperlinks>
  <pageMargins left="0.7" right="0.7" top="0.75" bottom="0.75" header="0.3" footer="0.3"/>
  <pageSetup paperSize="9" orientation="portrait" horizontalDpi="4294967293" verticalDpi="0" r:id="rId1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2022-06-03T06:55:41Z</dcterms:modified>
</cp:coreProperties>
</file>